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060" tabRatio="793"/>
  </bookViews>
  <sheets>
    <sheet name="収支報告書" sheetId="2" r:id="rId1"/>
    <sheet name="細目諸様式" sheetId="1" r:id="rId2"/>
    <sheet name="資料1.参加者及び面積" sheetId="4" r:id="rId3"/>
    <sheet name="資料2.内訳" sheetId="3" r:id="rId4"/>
    <sheet name="資料3.個人の所得内訳" sheetId="6" r:id="rId5"/>
    <sheet name="資料4.減価償却内訳" sheetId="7" r:id="rId6"/>
    <sheet name="資料5.減価償却費個別内訳" sheetId="8" r:id="rId7"/>
    <sheet name="別紙.個人所得計算表" sheetId="10" r:id="rId8"/>
  </sheets>
  <externalReferences>
    <externalReference r:id="rId9"/>
  </externalReferences>
  <definedNames>
    <definedName name="_xlnm.Print_Area" localSheetId="1">細目諸様式!$A$1:$O$38</definedName>
    <definedName name="_xlnm.Print_Titles" localSheetId="1">細目諸様式!$2:$4</definedName>
    <definedName name="_xlnm.Print_Area" localSheetId="0">収支報告書!$A$1:$V$90</definedName>
    <definedName name="_xlnm.Print_Area" localSheetId="3">'資料2.内訳'!$A$1:$Q$52</definedName>
    <definedName name="_xlnm.Print_Area" localSheetId="2">'資料1.参加者及び面積'!$A$1:$I$33</definedName>
    <definedName name="_xlnm.Print_Area" localSheetId="4">'資料3.個人の所得内訳'!$A$1:$O$36</definedName>
    <definedName name="_xlnm.Print_Titles" localSheetId="4">'資料3.個人の所得内訳'!$A:$B</definedName>
    <definedName name="_xlnm.Print_Area" localSheetId="5">'資料4.減価償却内訳'!$F$1:$U$89</definedName>
    <definedName name="_xlnm.Print_Area" localSheetId="6">'資料5.減価償却費個別内訳'!$A$1:$N$35</definedName>
    <definedName name="_xlnm.Print_Titles" localSheetId="6">'資料5.減価償却費個別内訳'!$A:$B</definedName>
    <definedName name="_xlnm.Print_Area" localSheetId="7">'別紙.個人所得計算表'!$B$1:$M$55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<sst xmlns="http://schemas.openxmlformats.org/spreadsheetml/2006/main" xmlns:r="http://schemas.openxmlformats.org/officeDocument/2006/relationships" count="273" uniqueCount="273">
  <si>
    <t xml:space="preserve">
【Ａ】
協定参加者等の個人の収入計
③＋④</t>
    <rPh sb="6" eb="8">
      <t>キョウテイ</t>
    </rPh>
    <rPh sb="8" eb="11">
      <t>サンカシャ</t>
    </rPh>
    <rPh sb="11" eb="12">
      <t>トウ</t>
    </rPh>
    <rPh sb="13" eb="15">
      <t>コジン</t>
    </rPh>
    <rPh sb="16" eb="18">
      <t>シュウニュウ</t>
    </rPh>
    <rPh sb="18" eb="19">
      <t>ケイ</t>
    </rPh>
    <phoneticPr fontId="9"/>
  </si>
  <si>
    <t>氏　　名</t>
    <rPh sb="0" eb="1">
      <t>シ</t>
    </rPh>
    <rPh sb="3" eb="4">
      <t>メイ</t>
    </rPh>
    <phoneticPr fontId="9"/>
  </si>
  <si>
    <t>田所四郎</t>
    <rPh sb="0" eb="2">
      <t>タドコロ</t>
    </rPh>
    <rPh sb="2" eb="4">
      <t>シロウ</t>
    </rPh>
    <phoneticPr fontId="32"/>
  </si>
  <si>
    <t xml:space="preserve">
①個人配分分</t>
    <rPh sb="3" eb="5">
      <t>コジン</t>
    </rPh>
    <rPh sb="5" eb="7">
      <t>ハイブン</t>
    </rPh>
    <rPh sb="7" eb="8">
      <t>ブン</t>
    </rPh>
    <phoneticPr fontId="9"/>
  </si>
  <si>
    <t>集落合計</t>
    <rPh sb="0" eb="2">
      <t>シュウラク</t>
    </rPh>
    <rPh sb="2" eb="4">
      <t>ゴウケイ</t>
    </rPh>
    <phoneticPr fontId="9"/>
  </si>
  <si>
    <t>③支出額</t>
    <rPh sb="1" eb="3">
      <t>シシュツ</t>
    </rPh>
    <rPh sb="3" eb="4">
      <t>ガク</t>
    </rPh>
    <phoneticPr fontId="2"/>
  </si>
  <si>
    <t>配　分　等　の　基　礎</t>
    <rPh sb="0" eb="1">
      <t>クバ</t>
    </rPh>
    <rPh sb="2" eb="3">
      <t>ブン</t>
    </rPh>
    <rPh sb="4" eb="5">
      <t>トウ</t>
    </rPh>
    <rPh sb="8" eb="9">
      <t>モト</t>
    </rPh>
    <rPh sb="10" eb="11">
      <t>イシズエ</t>
    </rPh>
    <phoneticPr fontId="2"/>
  </si>
  <si>
    <t>収入</t>
    <rPh sb="0" eb="2">
      <t>シュウニュウ</t>
    </rPh>
    <phoneticPr fontId="9"/>
  </si>
  <si>
    <t>⑥　⑤の内
必要経費に該当しない経費（税務上必要経費と認められない経費）</t>
    <rPh sb="4" eb="5">
      <t>ウチ</t>
    </rPh>
    <rPh sb="6" eb="8">
      <t>ヒツヨウ</t>
    </rPh>
    <rPh sb="8" eb="10">
      <t>ケイヒ</t>
    </rPh>
    <rPh sb="11" eb="13">
      <t>ガイトウ</t>
    </rPh>
    <rPh sb="16" eb="18">
      <t>ケイヒ</t>
    </rPh>
    <rPh sb="19" eb="22">
      <t>ゼイムジョウ</t>
    </rPh>
    <rPh sb="22" eb="24">
      <t>ヒツヨウ</t>
    </rPh>
    <rPh sb="24" eb="26">
      <t>ケイヒ</t>
    </rPh>
    <rPh sb="27" eb="28">
      <t>ミト</t>
    </rPh>
    <rPh sb="33" eb="35">
      <t>ケイヒ</t>
    </rPh>
    <phoneticPr fontId="9"/>
  </si>
  <si>
    <t>共同取組（収入）端数処理</t>
    <rPh sb="0" eb="2">
      <t>キョウドウ</t>
    </rPh>
    <rPh sb="2" eb="4">
      <t>トリクミ</t>
    </rPh>
    <rPh sb="5" eb="7">
      <t>シュウニュウ</t>
    </rPh>
    <rPh sb="8" eb="10">
      <t>ハスウ</t>
    </rPh>
    <rPh sb="10" eb="12">
      <t>ショリ</t>
    </rPh>
    <phoneticPr fontId="2"/>
  </si>
  <si>
    <t xml:space="preserve">
④役員報酬・手当・賃金</t>
    <rPh sb="3" eb="5">
      <t>ヤクイン</t>
    </rPh>
    <rPh sb="5" eb="7">
      <t>ホウシュウ</t>
    </rPh>
    <rPh sb="8" eb="10">
      <t>テアテ</t>
    </rPh>
    <rPh sb="11" eb="13">
      <t>チンギン</t>
    </rPh>
    <phoneticPr fontId="9"/>
  </si>
  <si>
    <t>積立総額
（利子を除く）</t>
    <rPh sb="0" eb="2">
      <t>ツミタテ</t>
    </rPh>
    <rPh sb="2" eb="4">
      <t>ソウガク</t>
    </rPh>
    <rPh sb="6" eb="8">
      <t>リシ</t>
    </rPh>
    <rPh sb="9" eb="10">
      <t>ノゾ</t>
    </rPh>
    <phoneticPr fontId="2"/>
  </si>
  <si>
    <t>⑨減価償却費
（現年・過年で取得した資産の内、今年の減価償却経費となる金額）</t>
    <rPh sb="1" eb="3">
      <t>ゲンカ</t>
    </rPh>
    <rPh sb="3" eb="5">
      <t>ショウキャク</t>
    </rPh>
    <rPh sb="5" eb="6">
      <t>ヒ</t>
    </rPh>
    <rPh sb="8" eb="9">
      <t>ゲン</t>
    </rPh>
    <rPh sb="9" eb="10">
      <t>ネン</t>
    </rPh>
    <rPh sb="11" eb="12">
      <t>カ</t>
    </rPh>
    <rPh sb="12" eb="13">
      <t>ネン</t>
    </rPh>
    <rPh sb="14" eb="16">
      <t>シュトク</t>
    </rPh>
    <rPh sb="18" eb="20">
      <t>シサン</t>
    </rPh>
    <rPh sb="21" eb="22">
      <t>ウチ</t>
    </rPh>
    <rPh sb="23" eb="25">
      <t>コトシ</t>
    </rPh>
    <rPh sb="26" eb="28">
      <t>ゲンカ</t>
    </rPh>
    <rPh sb="28" eb="30">
      <t>ショウキャク</t>
    </rPh>
    <rPh sb="30" eb="32">
      <t>ケイヒ</t>
    </rPh>
    <rPh sb="35" eb="37">
      <t>キンガク</t>
    </rPh>
    <phoneticPr fontId="9"/>
  </si>
  <si>
    <t xml:space="preserve">
②共同取組分</t>
    <rPh sb="3" eb="5">
      <t>キョウドウ</t>
    </rPh>
    <rPh sb="5" eb="7">
      <t>トリクミ</t>
    </rPh>
    <rPh sb="7" eb="8">
      <t>ブン</t>
    </rPh>
    <phoneticPr fontId="9"/>
  </si>
  <si>
    <t xml:space="preserve">
③交付金額
①＋②</t>
    <rPh sb="3" eb="6">
      <t>コウフキン</t>
    </rPh>
    <rPh sb="6" eb="7">
      <t>ガク</t>
    </rPh>
    <phoneticPr fontId="9"/>
  </si>
  <si>
    <t>年末の残高を記入</t>
    <rPh sb="0" eb="2">
      <t>ネンマツ</t>
    </rPh>
    <rPh sb="3" eb="5">
      <t>ザンダカ</t>
    </rPh>
    <rPh sb="6" eb="8">
      <t>キニュウ</t>
    </rPh>
    <phoneticPr fontId="2"/>
  </si>
  <si>
    <t>支出</t>
    <rPh sb="0" eb="2">
      <t>シシュツ</t>
    </rPh>
    <phoneticPr fontId="9"/>
  </si>
  <si>
    <t>⑤　共同取組活動分支出計</t>
    <rPh sb="2" eb="4">
      <t>キョウドウ</t>
    </rPh>
    <rPh sb="4" eb="6">
      <t>トリクミ</t>
    </rPh>
    <rPh sb="6" eb="8">
      <t>カツドウ</t>
    </rPh>
    <rPh sb="8" eb="9">
      <t>ブン</t>
    </rPh>
    <rPh sb="9" eb="11">
      <t>シシュツ</t>
    </rPh>
    <rPh sb="11" eb="12">
      <t>ケイ</t>
    </rPh>
    <phoneticPr fontId="9"/>
  </si>
  <si>
    <t>⑧　差引計
⑤－⑥－⑦</t>
    <rPh sb="2" eb="4">
      <t>サシヒキ</t>
    </rPh>
    <rPh sb="4" eb="5">
      <t>ケイ</t>
    </rPh>
    <phoneticPr fontId="9"/>
  </si>
  <si>
    <t>①　個人配分分</t>
    <rPh sb="2" eb="3">
      <t>コ</t>
    </rPh>
    <rPh sb="3" eb="4">
      <t>ジン</t>
    </rPh>
    <rPh sb="4" eb="6">
      <t>ハイブン</t>
    </rPh>
    <rPh sb="6" eb="7">
      <t>ブン</t>
    </rPh>
    <phoneticPr fontId="2"/>
  </si>
  <si>
    <t>1　交付金に係る配分額及び共同取組活動の支出額</t>
    <rPh sb="2" eb="5">
      <t>コウフキン</t>
    </rPh>
    <rPh sb="6" eb="7">
      <t>カカワ</t>
    </rPh>
    <rPh sb="8" eb="10">
      <t>ハイブン</t>
    </rPh>
    <rPh sb="10" eb="11">
      <t>ガク</t>
    </rPh>
    <rPh sb="11" eb="12">
      <t>オヨ</t>
    </rPh>
    <rPh sb="13" eb="15">
      <t>キョウドウ</t>
    </rPh>
    <rPh sb="15" eb="17">
      <t>トリクミ</t>
    </rPh>
    <rPh sb="17" eb="19">
      <t>カツドウ</t>
    </rPh>
    <rPh sb="20" eb="22">
      <t>シシュツ</t>
    </rPh>
    <rPh sb="22" eb="23">
      <t>ガク</t>
    </rPh>
    <phoneticPr fontId="2"/>
  </si>
  <si>
    <t>集落名</t>
    <rPh sb="0" eb="2">
      <t>シュウラク</t>
    </rPh>
    <rPh sb="2" eb="3">
      <t>メイ</t>
    </rPh>
    <phoneticPr fontId="9"/>
  </si>
  <si>
    <t>【Ｂ】
必要経費
⑧＋⑨</t>
    <rPh sb="4" eb="6">
      <t>ヒツヨウ</t>
    </rPh>
    <rPh sb="6" eb="8">
      <t>ケイヒ</t>
    </rPh>
    <phoneticPr fontId="9"/>
  </si>
  <si>
    <t>【Ｃ】
【Ａ】－【Ｂ】
所得額</t>
    <rPh sb="12" eb="15">
      <t>ショトクガク</t>
    </rPh>
    <phoneticPr fontId="9"/>
  </si>
  <si>
    <t>協定参加者
の集落名・班名
（町外は住所等）</t>
    <rPh sb="0" eb="2">
      <t>キョウテイ</t>
    </rPh>
    <rPh sb="2" eb="5">
      <t>サンカシャ</t>
    </rPh>
    <rPh sb="7" eb="8">
      <t>シュウ</t>
    </rPh>
    <rPh sb="8" eb="9">
      <t>オチ</t>
    </rPh>
    <rPh sb="9" eb="10">
      <t>メイ</t>
    </rPh>
    <rPh sb="11" eb="12">
      <t>ハン</t>
    </rPh>
    <rPh sb="12" eb="13">
      <t>メイ</t>
    </rPh>
    <rPh sb="15" eb="17">
      <t>チョウガイ</t>
    </rPh>
    <rPh sb="18" eb="20">
      <t>ジュウショ</t>
    </rPh>
    <rPh sb="20" eb="21">
      <t>トウ</t>
    </rPh>
    <phoneticPr fontId="9"/>
  </si>
  <si>
    <t>①収入額</t>
    <rPh sb="1" eb="3">
      <t>シュウニュウ</t>
    </rPh>
    <rPh sb="3" eb="4">
      <t>ガク</t>
    </rPh>
    <phoneticPr fontId="2"/>
  </si>
  <si>
    <t>耕作放棄地草刈日当</t>
    <rPh sb="0" eb="2">
      <t>コウサク</t>
    </rPh>
    <rPh sb="2" eb="5">
      <t>ホウキチ</t>
    </rPh>
    <rPh sb="5" eb="7">
      <t>クサカ</t>
    </rPh>
    <rPh sb="7" eb="9">
      <t>ニットウ</t>
    </rPh>
    <phoneticPr fontId="32"/>
  </si>
  <si>
    <t>乾燥機</t>
    <rPh sb="0" eb="3">
      <t>カンソウキ</t>
    </rPh>
    <phoneticPr fontId="9"/>
  </si>
  <si>
    <t>⑥その他（　　　　　　　　　　　　　）</t>
  </si>
  <si>
    <t>①役員報酬</t>
    <rPh sb="1" eb="3">
      <t>ヤクイン</t>
    </rPh>
    <rPh sb="3" eb="5">
      <t>ホウシュウ</t>
    </rPh>
    <phoneticPr fontId="2"/>
  </si>
  <si>
    <t>邑南町長</t>
    <rPh sb="0" eb="2">
      <t>オオナン</t>
    </rPh>
    <rPh sb="2" eb="3">
      <t>チョウ</t>
    </rPh>
    <rPh sb="3" eb="4">
      <t>オサ</t>
    </rPh>
    <phoneticPr fontId="2"/>
  </si>
  <si>
    <t>⑦
⑤の内
減価償却資産の取得額（共同取組分の中で支出した金額）</t>
    <rPh sb="4" eb="5">
      <t>ウチ</t>
    </rPh>
    <rPh sb="6" eb="8">
      <t>ゲンカ</t>
    </rPh>
    <rPh sb="8" eb="10">
      <t>ショウキャク</t>
    </rPh>
    <rPh sb="10" eb="12">
      <t>シサン</t>
    </rPh>
    <rPh sb="13" eb="15">
      <t>シュトク</t>
    </rPh>
    <rPh sb="15" eb="16">
      <t>ガク</t>
    </rPh>
    <rPh sb="17" eb="19">
      <t>キョウドウ</t>
    </rPh>
    <rPh sb="19" eb="21">
      <t>トリクミ</t>
    </rPh>
    <rPh sb="21" eb="22">
      <t>ブン</t>
    </rPh>
    <rPh sb="23" eb="24">
      <t>ナカ</t>
    </rPh>
    <rPh sb="25" eb="27">
      <t>シシュツ</t>
    </rPh>
    <rPh sb="29" eb="31">
      <t>キンガク</t>
    </rPh>
    <phoneticPr fontId="9"/>
  </si>
  <si>
    <t>残（積立）額</t>
    <rPh sb="0" eb="1">
      <t>ザン</t>
    </rPh>
    <rPh sb="2" eb="4">
      <t>ツミタテ</t>
    </rPh>
    <rPh sb="5" eb="6">
      <t>ガク</t>
    </rPh>
    <phoneticPr fontId="2"/>
  </si>
  <si>
    <t>令和　　　年　   月　　　日</t>
    <rPh sb="0" eb="2">
      <t>レイワ</t>
    </rPh>
    <rPh sb="5" eb="6">
      <t>ネン</t>
    </rPh>
    <rPh sb="10" eb="11">
      <t>ガツ</t>
    </rPh>
    <rPh sb="14" eb="15">
      <t>ニチ</t>
    </rPh>
    <phoneticPr fontId="2"/>
  </si>
  <si>
    <t>②　共同取組活動分</t>
    <rPh sb="2" eb="4">
      <t>キョウドウ</t>
    </rPh>
    <rPh sb="4" eb="6">
      <t>トリクミ</t>
    </rPh>
    <rPh sb="6" eb="8">
      <t>カツドウ</t>
    </rPh>
    <rPh sb="8" eb="9">
      <t>ブン</t>
    </rPh>
    <phoneticPr fontId="2"/>
  </si>
  <si>
    <t>⑧
　　差引計
　⑤－⑥－⑦</t>
    <rPh sb="5" eb="7">
      <t>サシヒキ</t>
    </rPh>
    <rPh sb="7" eb="8">
      <t>ケイ</t>
    </rPh>
    <phoneticPr fontId="9"/>
  </si>
  <si>
    <t>高原二郎</t>
    <rPh sb="0" eb="2">
      <t>タカハラ</t>
    </rPh>
    <rPh sb="2" eb="4">
      <t>ジロウ</t>
    </rPh>
    <phoneticPr fontId="32"/>
  </si>
  <si>
    <t>集落協定名</t>
    <rPh sb="0" eb="2">
      <t>シュウラク</t>
    </rPh>
    <rPh sb="2" eb="4">
      <t>キョウテイ</t>
    </rPh>
    <rPh sb="4" eb="5">
      <t>メイ</t>
    </rPh>
    <phoneticPr fontId="2"/>
  </si>
  <si>
    <t>集落協定代表者</t>
    <rPh sb="0" eb="2">
      <t>シュウラク</t>
    </rPh>
    <rPh sb="2" eb="4">
      <t>キョウテイ</t>
    </rPh>
    <rPh sb="4" eb="7">
      <t>ダイヒョウシャ</t>
    </rPh>
    <phoneticPr fontId="2"/>
  </si>
  <si>
    <t>番号</t>
    <rPh sb="0" eb="2">
      <t>バンゴウ</t>
    </rPh>
    <phoneticPr fontId="9"/>
  </si>
  <si>
    <t>ⓒの合計額</t>
    <rPh sb="2" eb="5">
      <t>ゴウケイガク</t>
    </rPh>
    <phoneticPr fontId="9"/>
  </si>
  <si>
    <t>印</t>
    <rPh sb="0" eb="1">
      <t>イン</t>
    </rPh>
    <phoneticPr fontId="2"/>
  </si>
  <si>
    <t>　（1）　配分総額</t>
    <rPh sb="5" eb="7">
      <t>ハイブン</t>
    </rPh>
    <rPh sb="7" eb="9">
      <t>ソウガク</t>
    </rPh>
    <phoneticPr fontId="2"/>
  </si>
  <si>
    <t>総　　　　　　額</t>
    <rPh sb="0" eb="1">
      <t>フサ</t>
    </rPh>
    <rPh sb="7" eb="8">
      <t>ガク</t>
    </rPh>
    <phoneticPr fontId="2"/>
  </si>
  <si>
    <t>　（2）　共同取組活動支出額</t>
    <rPh sb="5" eb="7">
      <t>キョウドウ</t>
    </rPh>
    <rPh sb="7" eb="9">
      <t>トリクミ</t>
    </rPh>
    <rPh sb="9" eb="11">
      <t>カツドウ</t>
    </rPh>
    <rPh sb="11" eb="13">
      <t>シシュツ</t>
    </rPh>
    <rPh sb="13" eb="14">
      <t>ガク</t>
    </rPh>
    <phoneticPr fontId="2"/>
  </si>
  <si>
    <t>支　出　項　目</t>
    <rPh sb="0" eb="1">
      <t>ササ</t>
    </rPh>
    <rPh sb="2" eb="3">
      <t>デ</t>
    </rPh>
    <rPh sb="4" eb="5">
      <t>コウ</t>
    </rPh>
    <rPh sb="6" eb="7">
      <t>メ</t>
    </rPh>
    <phoneticPr fontId="2"/>
  </si>
  <si>
    <r>
      <t>この細目表は、協定参加者個人ごとの所得を計算する表です。事業上経費として認められるものであっても、</t>
    </r>
    <r>
      <rPr>
        <u/>
        <sz val="12"/>
        <color auto="1"/>
        <rFont val="ＭＳ ゴシック"/>
      </rPr>
      <t>税法上農業経費に認められないものは控除出来ません。⑥</t>
    </r>
    <rPh sb="2" eb="4">
      <t>サイモク</t>
    </rPh>
    <rPh sb="4" eb="5">
      <t>ヒョウ</t>
    </rPh>
    <rPh sb="7" eb="9">
      <t>キョウテイ</t>
    </rPh>
    <rPh sb="9" eb="12">
      <t>サンカシャ</t>
    </rPh>
    <rPh sb="12" eb="14">
      <t>コジン</t>
    </rPh>
    <rPh sb="17" eb="19">
      <t>ショトク</t>
    </rPh>
    <rPh sb="20" eb="22">
      <t>ケイサン</t>
    </rPh>
    <rPh sb="24" eb="25">
      <t>ヒョウ</t>
    </rPh>
    <rPh sb="28" eb="31">
      <t>ジギョウジョウ</t>
    </rPh>
    <rPh sb="31" eb="33">
      <t>ケイヒ</t>
    </rPh>
    <rPh sb="36" eb="37">
      <t>ミト</t>
    </rPh>
    <rPh sb="49" eb="52">
      <t>ゼイホウジョウ</t>
    </rPh>
    <rPh sb="52" eb="54">
      <t>ノウギョウ</t>
    </rPh>
    <rPh sb="54" eb="56">
      <t>ケイヒ</t>
    </rPh>
    <rPh sb="57" eb="58">
      <t>ミト</t>
    </rPh>
    <rPh sb="66" eb="68">
      <t>コウジョ</t>
    </rPh>
    <rPh sb="68" eb="70">
      <t>デキ</t>
    </rPh>
    <phoneticPr fontId="9"/>
  </si>
  <si>
    <t>2　協定参加者別細目</t>
    <rPh sb="2" eb="4">
      <t>キョウテイ</t>
    </rPh>
    <rPh sb="4" eb="7">
      <t>サンカシャ</t>
    </rPh>
    <rPh sb="7" eb="8">
      <t>ベツ</t>
    </rPh>
    <rPh sb="8" eb="10">
      <t>サイモク</t>
    </rPh>
    <phoneticPr fontId="2"/>
  </si>
  <si>
    <t>支　　出　　額</t>
    <rPh sb="0" eb="1">
      <t>ササ</t>
    </rPh>
    <rPh sb="3" eb="4">
      <t>デ</t>
    </rPh>
    <rPh sb="6" eb="7">
      <t>ガク</t>
    </rPh>
    <phoneticPr fontId="2"/>
  </si>
  <si>
    <t>備　　　　　　考</t>
    <rPh sb="0" eb="1">
      <t>ビ</t>
    </rPh>
    <rPh sb="7" eb="8">
      <t>コウ</t>
    </rPh>
    <phoneticPr fontId="2"/>
  </si>
  <si>
    <t>支出計</t>
    <rPh sb="0" eb="2">
      <t>シシュツ</t>
    </rPh>
    <rPh sb="2" eb="3">
      <t>ケイ</t>
    </rPh>
    <phoneticPr fontId="2"/>
  </si>
  <si>
    <t>積立額計</t>
    <rPh sb="0" eb="2">
      <t>ツミタテ</t>
    </rPh>
    <rPh sb="2" eb="3">
      <t>ガク</t>
    </rPh>
    <rPh sb="3" eb="4">
      <t>ケイ</t>
    </rPh>
    <phoneticPr fontId="2"/>
  </si>
  <si>
    <t>個人配分分</t>
    <rPh sb="0" eb="1">
      <t>コ</t>
    </rPh>
    <rPh sb="1" eb="2">
      <t>ジン</t>
    </rPh>
    <rPh sb="2" eb="4">
      <t>ハイブン</t>
    </rPh>
    <rPh sb="4" eb="5">
      <t>ブン</t>
    </rPh>
    <phoneticPr fontId="2"/>
  </si>
  <si>
    <t>年間使用月数</t>
    <rPh sb="0" eb="2">
      <t>ネンカン</t>
    </rPh>
    <rPh sb="2" eb="4">
      <t>シヨウ</t>
    </rPh>
    <rPh sb="4" eb="6">
      <t>ツキスウ</t>
    </rPh>
    <phoneticPr fontId="9"/>
  </si>
  <si>
    <t>当年必要経費となる減価償却費の合計</t>
    <rPh sb="0" eb="2">
      <t>トウネン</t>
    </rPh>
    <rPh sb="2" eb="4">
      <t>ヒツヨウ</t>
    </rPh>
    <rPh sb="4" eb="6">
      <t>ケイヒ</t>
    </rPh>
    <rPh sb="9" eb="11">
      <t>ゲンカ</t>
    </rPh>
    <rPh sb="11" eb="13">
      <t>ショウキャク</t>
    </rPh>
    <rPh sb="13" eb="14">
      <t>ヒ</t>
    </rPh>
    <rPh sb="15" eb="17">
      <t>ゴウケイ</t>
    </rPh>
    <phoneticPr fontId="9"/>
  </si>
  <si>
    <t>⑦　⑤の内
減価償却資産の取得額（共同取組分の中で支出した金額）</t>
    <rPh sb="4" eb="5">
      <t>ウチ</t>
    </rPh>
    <rPh sb="6" eb="8">
      <t>ゲンカ</t>
    </rPh>
    <rPh sb="8" eb="10">
      <t>ショウキャク</t>
    </rPh>
    <rPh sb="10" eb="12">
      <t>シサン</t>
    </rPh>
    <rPh sb="13" eb="15">
      <t>シュトク</t>
    </rPh>
    <rPh sb="15" eb="16">
      <t>ガク</t>
    </rPh>
    <rPh sb="17" eb="19">
      <t>キョウドウ</t>
    </rPh>
    <rPh sb="19" eb="21">
      <t>トリクミ</t>
    </rPh>
    <rPh sb="21" eb="22">
      <t>ブン</t>
    </rPh>
    <rPh sb="23" eb="24">
      <t>ナカ</t>
    </rPh>
    <rPh sb="25" eb="27">
      <t>シシュツ</t>
    </rPh>
    <rPh sb="29" eb="31">
      <t>キンガク</t>
    </rPh>
    <phoneticPr fontId="9"/>
  </si>
  <si>
    <t>①</t>
  </si>
  <si>
    <t>共同取組活動分</t>
    <rPh sb="0" eb="2">
      <t>キョウドウ</t>
    </rPh>
    <rPh sb="2" eb="4">
      <t>トリクミ</t>
    </rPh>
    <rPh sb="4" eb="6">
      <t>カツドウ</t>
    </rPh>
    <rPh sb="6" eb="7">
      <t>ブン</t>
    </rPh>
    <phoneticPr fontId="2"/>
  </si>
  <si>
    <t>合　　　　　計</t>
    <rPh sb="0" eb="1">
      <t>ゴウ</t>
    </rPh>
    <rPh sb="6" eb="7">
      <t>ケイ</t>
    </rPh>
    <phoneticPr fontId="2"/>
  </si>
  <si>
    <r>
      <t>④</t>
    </r>
    <r>
      <rPr>
        <sz val="12"/>
        <color auto="1"/>
        <rFont val="ＭＳ ゴシック"/>
      </rPr>
      <t xml:space="preserve">
役員報酬・手当・賃金</t>
    </r>
    <rPh sb="5" eb="7">
      <t>ヤクイン</t>
    </rPh>
    <rPh sb="7" eb="9">
      <t>ホウシュウ</t>
    </rPh>
    <rPh sb="10" eb="12">
      <t>テアテ</t>
    </rPh>
    <rPh sb="13" eb="15">
      <t>チンギン</t>
    </rPh>
    <phoneticPr fontId="9"/>
  </si>
  <si>
    <t>協定参加者名</t>
    <rPh sb="0" eb="2">
      <t>キョウテイ</t>
    </rPh>
    <rPh sb="2" eb="5">
      <t>サンカシャ</t>
    </rPh>
    <rPh sb="5" eb="6">
      <t>メイ</t>
    </rPh>
    <phoneticPr fontId="2"/>
  </si>
  <si>
    <t>R6.11</t>
  </si>
  <si>
    <t>資産の名称</t>
    <rPh sb="0" eb="2">
      <t>シサン</t>
    </rPh>
    <rPh sb="3" eb="5">
      <t>メイショウ</t>
    </rPh>
    <phoneticPr fontId="9"/>
  </si>
  <si>
    <t>支出額総計</t>
    <rPh sb="0" eb="2">
      <t>シシュツ</t>
    </rPh>
    <rPh sb="2" eb="3">
      <t>ガク</t>
    </rPh>
    <rPh sb="3" eb="4">
      <t>ソウ</t>
    </rPh>
    <rPh sb="4" eb="5">
      <t>ケイ</t>
    </rPh>
    <phoneticPr fontId="2"/>
  </si>
  <si>
    <t>受益者の人数</t>
    <rPh sb="0" eb="3">
      <t>ジュエキシャ</t>
    </rPh>
    <rPh sb="4" eb="6">
      <t>ニンズウ</t>
    </rPh>
    <phoneticPr fontId="9"/>
  </si>
  <si>
    <t>中山間地域等直接支払交付金に係る所得計算表</t>
    <rPh sb="0" eb="3">
      <t>チュウサンカン</t>
    </rPh>
    <rPh sb="3" eb="5">
      <t>チイキ</t>
    </rPh>
    <rPh sb="5" eb="6">
      <t>トウ</t>
    </rPh>
    <rPh sb="6" eb="8">
      <t>チョクセツ</t>
    </rPh>
    <rPh sb="8" eb="10">
      <t>シハラ</t>
    </rPh>
    <rPh sb="10" eb="13">
      <t>コウフキン</t>
    </rPh>
    <rPh sb="14" eb="15">
      <t>カカ</t>
    </rPh>
    <rPh sb="16" eb="18">
      <t>ショトク</t>
    </rPh>
    <rPh sb="18" eb="20">
      <t>ケイサン</t>
    </rPh>
    <rPh sb="20" eb="21">
      <t>ヒョウ</t>
    </rPh>
    <phoneticPr fontId="2"/>
  </si>
  <si>
    <t>取得年月</t>
    <rPh sb="0" eb="2">
      <t>シュトク</t>
    </rPh>
    <rPh sb="2" eb="4">
      <t>ネンゲツ</t>
    </rPh>
    <phoneticPr fontId="9"/>
  </si>
  <si>
    <t>取得価格（購入費）</t>
    <rPh sb="0" eb="2">
      <t>シュトク</t>
    </rPh>
    <rPh sb="2" eb="4">
      <t>カカク</t>
    </rPh>
    <rPh sb="5" eb="8">
      <t>コウニュウヒ</t>
    </rPh>
    <phoneticPr fontId="9"/>
  </si>
  <si>
    <t>備　　　考</t>
    <rPh sb="0" eb="1">
      <t>ソナエ</t>
    </rPh>
    <rPh sb="4" eb="5">
      <t>コウ</t>
    </rPh>
    <phoneticPr fontId="9"/>
  </si>
  <si>
    <t>ⓑ １人当たり１０万円以上２０万円未満（償却中のものも全て記載）</t>
    <rPh sb="3" eb="4">
      <t>ヒト</t>
    </rPh>
    <rPh sb="4" eb="5">
      <t>ア</t>
    </rPh>
    <rPh sb="9" eb="11">
      <t>マンエン</t>
    </rPh>
    <rPh sb="11" eb="13">
      <t>イジョウ</t>
    </rPh>
    <rPh sb="15" eb="16">
      <t>マン</t>
    </rPh>
    <rPh sb="16" eb="19">
      <t>エンミマン</t>
    </rPh>
    <rPh sb="20" eb="22">
      <t>ショウキャク</t>
    </rPh>
    <rPh sb="22" eb="23">
      <t>チュウ</t>
    </rPh>
    <rPh sb="27" eb="28">
      <t>スベ</t>
    </rPh>
    <rPh sb="29" eb="31">
      <t>キサイ</t>
    </rPh>
    <phoneticPr fontId="9"/>
  </si>
  <si>
    <t>原価償却費番号</t>
    <rPh sb="0" eb="2">
      <t>ゲンカ</t>
    </rPh>
    <rPh sb="2" eb="4">
      <t>ショウキャク</t>
    </rPh>
    <rPh sb="4" eb="5">
      <t>ヒ</t>
    </rPh>
    <rPh sb="5" eb="7">
      <t>バンゴウ</t>
    </rPh>
    <phoneticPr fontId="9"/>
  </si>
  <si>
    <t>定数</t>
    <rPh sb="0" eb="2">
      <t>テイスウ</t>
    </rPh>
    <phoneticPr fontId="9"/>
  </si>
  <si>
    <t>取得年月</t>
    <rPh sb="0" eb="2">
      <t>シュトク</t>
    </rPh>
    <rPh sb="2" eb="3">
      <t>ネン</t>
    </rPh>
    <rPh sb="3" eb="4">
      <t>ガツ</t>
    </rPh>
    <phoneticPr fontId="9"/>
  </si>
  <si>
    <t>農業使用割合%</t>
    <rPh sb="0" eb="2">
      <t>ノウギョウ</t>
    </rPh>
    <rPh sb="2" eb="4">
      <t>シヨウ</t>
    </rPh>
    <rPh sb="4" eb="6">
      <t>ワリアイ</t>
    </rPh>
    <phoneticPr fontId="9"/>
  </si>
  <si>
    <t>減価償却費(当年必要経費)</t>
    <rPh sb="0" eb="2">
      <t>ゲンカ</t>
    </rPh>
    <rPh sb="2" eb="5">
      <t>ショウキャクヒ</t>
    </rPh>
    <rPh sb="6" eb="8">
      <t>トウネン</t>
    </rPh>
    <rPh sb="8" eb="10">
      <t>ヒツヨウ</t>
    </rPh>
    <rPh sb="10" eb="12">
      <t>ケイヒ</t>
    </rPh>
    <phoneticPr fontId="9"/>
  </si>
  <si>
    <t>ⓒ番号</t>
    <rPh sb="1" eb="3">
      <t>バンゴウ</t>
    </rPh>
    <phoneticPr fontId="9"/>
  </si>
  <si>
    <t>ⓐの合計額</t>
    <rPh sb="2" eb="5">
      <t>ゴウケイガク</t>
    </rPh>
    <phoneticPr fontId="9"/>
  </si>
  <si>
    <t>３年</t>
    <rPh sb="1" eb="2">
      <t>ネン</t>
    </rPh>
    <phoneticPr fontId="9"/>
  </si>
  <si>
    <t>償却率</t>
    <rPh sb="0" eb="3">
      <t>ショウキャクリツ</t>
    </rPh>
    <phoneticPr fontId="9"/>
  </si>
  <si>
    <t>共同機械（トラクタほか）</t>
    <rPh sb="0" eb="2">
      <t>キョウドウ</t>
    </rPh>
    <rPh sb="2" eb="4">
      <t>キカイ</t>
    </rPh>
    <phoneticPr fontId="2"/>
  </si>
  <si>
    <t>月／１２月</t>
    <rPh sb="0" eb="1">
      <t>ツキ</t>
    </rPh>
    <rPh sb="4" eb="5">
      <t>ツキ</t>
    </rPh>
    <phoneticPr fontId="9"/>
  </si>
  <si>
    <t>ⓑの合計額</t>
    <rPh sb="2" eb="5">
      <t>ゴウケイガク</t>
    </rPh>
    <phoneticPr fontId="9"/>
  </si>
  <si>
    <t>①＋②収入額</t>
    <rPh sb="3" eb="5">
      <t>シュウニュウ</t>
    </rPh>
    <rPh sb="5" eb="6">
      <t>ガク</t>
    </rPh>
    <phoneticPr fontId="2"/>
  </si>
  <si>
    <t>②収入額</t>
    <rPh sb="1" eb="3">
      <t>シュウニュウ</t>
    </rPh>
    <rPh sb="3" eb="4">
      <t>ガク</t>
    </rPh>
    <phoneticPr fontId="2"/>
  </si>
  <si>
    <t>参加者氏名</t>
    <rPh sb="0" eb="3">
      <t>サンカシャ</t>
    </rPh>
    <rPh sb="3" eb="5">
      <t>シメイ</t>
    </rPh>
    <phoneticPr fontId="9"/>
  </si>
  <si>
    <t>面積・単価で按分</t>
    <rPh sb="0" eb="2">
      <t>メンセキ</t>
    </rPh>
    <rPh sb="3" eb="5">
      <t>タンカ</t>
    </rPh>
    <rPh sb="6" eb="8">
      <t>アンブン</t>
    </rPh>
    <phoneticPr fontId="9"/>
  </si>
  <si>
    <t>R6.8</t>
  </si>
  <si>
    <t>　令和　　年　　月　　日に交付した直接支払交付金について、上記のとおり配分及び支出したことを証明する。</t>
    <rPh sb="1" eb="3">
      <t>レイワ</t>
    </rPh>
    <rPh sb="5" eb="6">
      <t>ネン</t>
    </rPh>
    <rPh sb="8" eb="9">
      <t>ガツ</t>
    </rPh>
    <rPh sb="11" eb="12">
      <t>ニチ</t>
    </rPh>
    <rPh sb="13" eb="15">
      <t>コウフ</t>
    </rPh>
    <rPh sb="17" eb="19">
      <t>チョクセツ</t>
    </rPh>
    <rPh sb="19" eb="21">
      <t>シハライ</t>
    </rPh>
    <rPh sb="21" eb="24">
      <t>コウフキン</t>
    </rPh>
    <rPh sb="29" eb="31">
      <t>ジョウキ</t>
    </rPh>
    <rPh sb="35" eb="37">
      <t>ハイブン</t>
    </rPh>
    <rPh sb="37" eb="38">
      <t>オヨ</t>
    </rPh>
    <rPh sb="39" eb="41">
      <t>シシュツ</t>
    </rPh>
    <rPh sb="46" eb="48">
      <t>ショウメイ</t>
    </rPh>
    <phoneticPr fontId="2"/>
  </si>
  <si>
    <t>　うち前期協定積立</t>
    <rPh sb="3" eb="5">
      <t>ゼンキ</t>
    </rPh>
    <rPh sb="5" eb="7">
      <t>キョウテイ</t>
    </rPh>
    <rPh sb="7" eb="9">
      <t>ツミタテ</t>
    </rPh>
    <phoneticPr fontId="2"/>
  </si>
  <si>
    <t>合　　　計</t>
    <rPh sb="0" eb="1">
      <t>ゴウ</t>
    </rPh>
    <rPh sb="4" eb="5">
      <t>ケイ</t>
    </rPh>
    <phoneticPr fontId="2"/>
  </si>
  <si>
    <t>均等割りで按分</t>
    <rPh sb="0" eb="2">
      <t>キントウ</t>
    </rPh>
    <rPh sb="2" eb="3">
      <t>ワリ</t>
    </rPh>
    <rPh sb="5" eb="7">
      <t>アンブン</t>
    </rPh>
    <phoneticPr fontId="9"/>
  </si>
  <si>
    <t>個人配分の按分方法</t>
    <rPh sb="0" eb="2">
      <t>コジン</t>
    </rPh>
    <rPh sb="2" eb="4">
      <t>ハイブン</t>
    </rPh>
    <rPh sb="5" eb="7">
      <t>アンブン</t>
    </rPh>
    <rPh sb="7" eb="9">
      <t>ホウホウ</t>
    </rPh>
    <phoneticPr fontId="9"/>
  </si>
  <si>
    <t>共同取組活動の按分方法</t>
    <rPh sb="0" eb="2">
      <t>キョウドウ</t>
    </rPh>
    <rPh sb="2" eb="4">
      <t>トリクミ</t>
    </rPh>
    <rPh sb="4" eb="6">
      <t>カツドウ</t>
    </rPh>
    <rPh sb="7" eb="9">
      <t>アンブン</t>
    </rPh>
    <rPh sb="9" eb="11">
      <t>ホウホウ</t>
    </rPh>
    <phoneticPr fontId="9"/>
  </si>
  <si>
    <t>面積で按分</t>
    <rPh sb="0" eb="2">
      <t>メンセキ</t>
    </rPh>
    <rPh sb="3" eb="5">
      <t>アンブン</t>
    </rPh>
    <phoneticPr fontId="9"/>
  </si>
  <si>
    <t>過年</t>
    <rPh sb="0" eb="1">
      <t>カ</t>
    </rPh>
    <rPh sb="1" eb="2">
      <t>ネン</t>
    </rPh>
    <phoneticPr fontId="9"/>
  </si>
  <si>
    <t>合　　　　　　計</t>
    <rPh sb="0" eb="1">
      <t>ゴウ</t>
    </rPh>
    <rPh sb="7" eb="8">
      <t>ケイ</t>
    </rPh>
    <phoneticPr fontId="2"/>
  </si>
  <si>
    <t>その他の方法で按分</t>
    <rPh sb="2" eb="3">
      <t>タ</t>
    </rPh>
    <rPh sb="4" eb="6">
      <t>ホウホウ</t>
    </rPh>
    <rPh sb="7" eb="9">
      <t>アンブン</t>
    </rPh>
    <phoneticPr fontId="9"/>
  </si>
  <si>
    <t>2　協定参加者別細目</t>
  </si>
  <si>
    <t>協定参加者名</t>
  </si>
  <si>
    <t>個人配分分</t>
  </si>
  <si>
    <t>共同取組活動分</t>
  </si>
  <si>
    <t>R10.4</t>
  </si>
  <si>
    <t>合　　　　　計</t>
  </si>
  <si>
    <t>①収入額</t>
  </si>
  <si>
    <t>②収入額</t>
  </si>
  <si>
    <t>③支出額</t>
  </si>
  <si>
    <t>①＋②収入額</t>
  </si>
  <si>
    <t>⑤農用地管理費（耕作放棄地管理費、農地法面管理費等）</t>
    <rPh sb="1" eb="4">
      <t>ノウヨウチ</t>
    </rPh>
    <rPh sb="4" eb="7">
      <t>カンリヒ</t>
    </rPh>
    <rPh sb="8" eb="10">
      <t>コウサク</t>
    </rPh>
    <rPh sb="10" eb="13">
      <t>ホウキチ</t>
    </rPh>
    <rPh sb="13" eb="16">
      <t>カンリヒ</t>
    </rPh>
    <rPh sb="17" eb="19">
      <t>ノウチ</t>
    </rPh>
    <rPh sb="19" eb="20">
      <t>ホウ</t>
    </rPh>
    <rPh sb="20" eb="21">
      <t>メン</t>
    </rPh>
    <rPh sb="21" eb="23">
      <t>カンリ</t>
    </rPh>
    <rPh sb="23" eb="24">
      <t>ヒ</t>
    </rPh>
    <rPh sb="24" eb="25">
      <t>トウ</t>
    </rPh>
    <phoneticPr fontId="9"/>
  </si>
  <si>
    <t>合　　　計</t>
  </si>
  <si>
    <t>①役員報酬</t>
    <rPh sb="1" eb="3">
      <t>ヤクイン</t>
    </rPh>
    <rPh sb="3" eb="5">
      <t>ホウシュウ</t>
    </rPh>
    <phoneticPr fontId="9"/>
  </si>
  <si>
    <t>内　　　容</t>
    <rPh sb="0" eb="1">
      <t>ウチ</t>
    </rPh>
    <rPh sb="4" eb="5">
      <t>カタチ</t>
    </rPh>
    <phoneticPr fontId="9"/>
  </si>
  <si>
    <t>金　　　額</t>
    <rPh sb="0" eb="1">
      <t>キン</t>
    </rPh>
    <rPh sb="4" eb="5">
      <t>ガク</t>
    </rPh>
    <phoneticPr fontId="9"/>
  </si>
  <si>
    <t>合　　　計</t>
    <rPh sb="0" eb="1">
      <t>ゴウ</t>
    </rPh>
    <rPh sb="4" eb="5">
      <t>ケイ</t>
    </rPh>
    <phoneticPr fontId="9"/>
  </si>
  <si>
    <t>②体制整備費</t>
  </si>
  <si>
    <t>減価償却費個別内訳</t>
    <rPh sb="0" eb="2">
      <t>ゲンカ</t>
    </rPh>
    <rPh sb="2" eb="5">
      <t>ショウキャクヒ</t>
    </rPh>
    <rPh sb="5" eb="7">
      <t>コベツ</t>
    </rPh>
    <rPh sb="7" eb="9">
      <t>ウチワケ</t>
    </rPh>
    <phoneticPr fontId="9"/>
  </si>
  <si>
    <t>③水路・農道管理費</t>
  </si>
  <si>
    <t>共同取組</t>
    <rPh sb="0" eb="2">
      <t>キョウドウ</t>
    </rPh>
    <rPh sb="2" eb="4">
      <t>トリクミ</t>
    </rPh>
    <phoneticPr fontId="9"/>
  </si>
  <si>
    <t>④鳥獣害防止対策費</t>
  </si>
  <si>
    <t>⑤農用地管理費</t>
  </si>
  <si>
    <t>⑥その他</t>
    <rPh sb="3" eb="4">
      <t>タ</t>
    </rPh>
    <phoneticPr fontId="9"/>
  </si>
  <si>
    <t>チェック欄</t>
    <rPh sb="4" eb="5">
      <t>ラン</t>
    </rPh>
    <phoneticPr fontId="9"/>
  </si>
  <si>
    <t>③水路・農道管理費（作業日当、補修費等）</t>
    <rPh sb="1" eb="3">
      <t>スイロ</t>
    </rPh>
    <rPh sb="4" eb="6">
      <t>ノウドウ</t>
    </rPh>
    <rPh sb="6" eb="9">
      <t>カンリヒ</t>
    </rPh>
    <rPh sb="10" eb="12">
      <t>サギョウ</t>
    </rPh>
    <rPh sb="12" eb="14">
      <t>ニットウ</t>
    </rPh>
    <rPh sb="15" eb="18">
      <t>ホシュウヒ</t>
    </rPh>
    <rPh sb="18" eb="19">
      <t>トウ</t>
    </rPh>
    <phoneticPr fontId="9"/>
  </si>
  <si>
    <t>１人当りの所要額</t>
    <rPh sb="1" eb="2">
      <t>ヒト</t>
    </rPh>
    <rPh sb="2" eb="3">
      <t>ア</t>
    </rPh>
    <rPh sb="5" eb="8">
      <t>ショヨウガク</t>
    </rPh>
    <phoneticPr fontId="9"/>
  </si>
  <si>
    <t>④鳥獣害防止対策費（電柵、檻等の購入費等）</t>
    <rPh sb="1" eb="3">
      <t>チョウジュウ</t>
    </rPh>
    <rPh sb="3" eb="4">
      <t>ガイ</t>
    </rPh>
    <rPh sb="4" eb="6">
      <t>ボウシ</t>
    </rPh>
    <rPh sb="6" eb="9">
      <t>タイサクヒ</t>
    </rPh>
    <rPh sb="10" eb="11">
      <t>デン</t>
    </rPh>
    <rPh sb="11" eb="12">
      <t>サク</t>
    </rPh>
    <rPh sb="13" eb="14">
      <t>オリ</t>
    </rPh>
    <rPh sb="14" eb="15">
      <t>ナド</t>
    </rPh>
    <rPh sb="16" eb="19">
      <t>コウニュウヒ</t>
    </rPh>
    <rPh sb="19" eb="20">
      <t>トウ</t>
    </rPh>
    <phoneticPr fontId="9"/>
  </si>
  <si>
    <t>②体制整備費（機械購入費、研修費、多面的機能活動費等の集落の体制整備費）</t>
    <rPh sb="1" eb="3">
      <t>タイセイ</t>
    </rPh>
    <rPh sb="3" eb="6">
      <t>セイビヒ</t>
    </rPh>
    <rPh sb="7" eb="9">
      <t>キカイ</t>
    </rPh>
    <rPh sb="9" eb="12">
      <t>コウニュウヒ</t>
    </rPh>
    <rPh sb="13" eb="16">
      <t>ケンシュウヒ</t>
    </rPh>
    <rPh sb="17" eb="20">
      <t>タメンテキ</t>
    </rPh>
    <rPh sb="20" eb="22">
      <t>キノウ</t>
    </rPh>
    <rPh sb="22" eb="25">
      <t>カツドウヒ</t>
    </rPh>
    <rPh sb="25" eb="26">
      <t>トウ</t>
    </rPh>
    <rPh sb="27" eb="29">
      <t>シュウラク</t>
    </rPh>
    <rPh sb="30" eb="32">
      <t>タイセイ</t>
    </rPh>
    <rPh sb="32" eb="34">
      <t>セイビ</t>
    </rPh>
    <rPh sb="34" eb="35">
      <t>ヒ</t>
    </rPh>
    <phoneticPr fontId="9"/>
  </si>
  <si>
    <t>共同取組（支出）端数処理</t>
    <rPh sb="0" eb="2">
      <t>キョウドウ</t>
    </rPh>
    <rPh sb="2" eb="4">
      <t>トリクミ</t>
    </rPh>
    <rPh sb="5" eb="7">
      <t>シシュツ</t>
    </rPh>
    <rPh sb="8" eb="10">
      <t>ハスウ</t>
    </rPh>
    <rPh sb="10" eb="12">
      <t>ショリ</t>
    </rPh>
    <phoneticPr fontId="2"/>
  </si>
  <si>
    <t xml:space="preserve">
共同取組活動分支出計</t>
    <rPh sb="1" eb="3">
      <t>キョウドウ</t>
    </rPh>
    <rPh sb="3" eb="5">
      <t>トリクミ</t>
    </rPh>
    <rPh sb="5" eb="7">
      <t>カツドウ</t>
    </rPh>
    <rPh sb="7" eb="8">
      <t>ブン</t>
    </rPh>
    <rPh sb="8" eb="10">
      <t>シシュツ</t>
    </rPh>
    <rPh sb="10" eb="11">
      <t>ケイ</t>
    </rPh>
    <phoneticPr fontId="9"/>
  </si>
  <si>
    <t>個人の所得</t>
    <rPh sb="0" eb="2">
      <t>コジン</t>
    </rPh>
    <rPh sb="3" eb="5">
      <t>ショトク</t>
    </rPh>
    <phoneticPr fontId="9"/>
  </si>
  <si>
    <t>④
役員報酬・手当・賃金</t>
    <rPh sb="3" eb="5">
      <t>ヤクイン</t>
    </rPh>
    <rPh sb="5" eb="7">
      <t>ホウシュウ</t>
    </rPh>
    <rPh sb="8" eb="10">
      <t>テアテ</t>
    </rPh>
    <rPh sb="11" eb="13">
      <t>チンギン</t>
    </rPh>
    <phoneticPr fontId="9"/>
  </si>
  <si>
    <t>農業外経費</t>
    <rPh sb="0" eb="3">
      <t>ノウギョウガイ</t>
    </rPh>
    <rPh sb="3" eb="5">
      <t>ケイヒ</t>
    </rPh>
    <phoneticPr fontId="9"/>
  </si>
  <si>
    <t>減価償却費</t>
    <rPh sb="0" eb="2">
      <t>ゲンカ</t>
    </rPh>
    <rPh sb="2" eb="4">
      <t>ショウキャク</t>
    </rPh>
    <rPh sb="4" eb="5">
      <t>ヒ</t>
    </rPh>
    <phoneticPr fontId="9"/>
  </si>
  <si>
    <t>合計金額</t>
    <rPh sb="0" eb="2">
      <t>ゴウケイ</t>
    </rPh>
    <rPh sb="2" eb="4">
      <t>キンガク</t>
    </rPh>
    <phoneticPr fontId="9"/>
  </si>
  <si>
    <r>
      <t>①</t>
    </r>
    <r>
      <rPr>
        <sz val="12"/>
        <color auto="1"/>
        <rFont val="ＭＳ ゴシック"/>
      </rPr>
      <t xml:space="preserve">
　個人配分分</t>
    </r>
    <rPh sb="6" eb="8">
      <t>コジン</t>
    </rPh>
    <rPh sb="8" eb="10">
      <t>ハイブン</t>
    </rPh>
    <rPh sb="10" eb="11">
      <t>ブン</t>
    </rPh>
    <phoneticPr fontId="9"/>
  </si>
  <si>
    <t>内　　容</t>
    <rPh sb="0" eb="1">
      <t>ウチ</t>
    </rPh>
    <rPh sb="3" eb="4">
      <t>カタチ</t>
    </rPh>
    <phoneticPr fontId="9"/>
  </si>
  <si>
    <t>支出項目
番号</t>
    <rPh sb="0" eb="2">
      <t>シシュツ</t>
    </rPh>
    <rPh sb="2" eb="4">
      <t>コウモク</t>
    </rPh>
    <rPh sb="5" eb="7">
      <t>バンゴウ</t>
    </rPh>
    <phoneticPr fontId="9"/>
  </si>
  <si>
    <t>個人支払額内訳</t>
    <rPh sb="0" eb="2">
      <t>コジン</t>
    </rPh>
    <rPh sb="2" eb="4">
      <t>シハライ</t>
    </rPh>
    <rPh sb="4" eb="5">
      <t>ガク</t>
    </rPh>
    <rPh sb="5" eb="6">
      <t>ウチ</t>
    </rPh>
    <rPh sb="6" eb="7">
      <t>ヤク</t>
    </rPh>
    <phoneticPr fontId="9"/>
  </si>
  <si>
    <t>ワイヤーメッシュ</t>
  </si>
  <si>
    <t>個人の所得合計額</t>
    <rPh sb="0" eb="2">
      <t>コジン</t>
    </rPh>
    <rPh sb="3" eb="5">
      <t>ショトク</t>
    </rPh>
    <rPh sb="5" eb="7">
      <t>ゴウケイ</t>
    </rPh>
    <rPh sb="7" eb="8">
      <t>ガク</t>
    </rPh>
    <phoneticPr fontId="9"/>
  </si>
  <si>
    <t>共同取組の按分方法</t>
    <rPh sb="0" eb="2">
      <t>キョウドウ</t>
    </rPh>
    <rPh sb="2" eb="4">
      <t>トリクミ</t>
    </rPh>
    <rPh sb="5" eb="7">
      <t>アンブン</t>
    </rPh>
    <rPh sb="7" eb="9">
      <t>ホウホウ</t>
    </rPh>
    <phoneticPr fontId="9"/>
  </si>
  <si>
    <t>個人配分</t>
    <rPh sb="0" eb="2">
      <t>コジン</t>
    </rPh>
    <rPh sb="2" eb="4">
      <t>ハイブン</t>
    </rPh>
    <phoneticPr fontId="9"/>
  </si>
  <si>
    <t>金　　額</t>
    <rPh sb="0" eb="1">
      <t>キン</t>
    </rPh>
    <rPh sb="3" eb="4">
      <t>ガク</t>
    </rPh>
    <phoneticPr fontId="9"/>
  </si>
  <si>
    <t>配　　分</t>
    <rPh sb="0" eb="1">
      <t>クバ</t>
    </rPh>
    <rPh sb="3" eb="4">
      <t>ブン</t>
    </rPh>
    <phoneticPr fontId="9"/>
  </si>
  <si>
    <r>
      <t>【Ｂ】</t>
    </r>
    <r>
      <rPr>
        <sz val="12"/>
        <color auto="1"/>
        <rFont val="ＭＳ ゴシック"/>
      </rPr>
      <t xml:space="preserve">
   必要経費
    ⑧＋⑨</t>
    </r>
    <rPh sb="10" eb="12">
      <t>ヒツヨウ</t>
    </rPh>
    <rPh sb="12" eb="14">
      <t>ケイヒ</t>
    </rPh>
    <phoneticPr fontId="9"/>
  </si>
  <si>
    <t>共同取組活動分支出計</t>
    <rPh sb="0" eb="2">
      <t>キョウドウ</t>
    </rPh>
    <rPh sb="2" eb="4">
      <t>トリクミ</t>
    </rPh>
    <rPh sb="4" eb="6">
      <t>カツドウ</t>
    </rPh>
    <rPh sb="6" eb="7">
      <t>ブン</t>
    </rPh>
    <rPh sb="7" eb="9">
      <t>シシュツ</t>
    </rPh>
    <rPh sb="9" eb="10">
      <t>ケイ</t>
    </rPh>
    <phoneticPr fontId="9"/>
  </si>
  <si>
    <t>令和　７年　１月　１０日</t>
    <rPh sb="0" eb="2">
      <t>レイワ</t>
    </rPh>
    <rPh sb="4" eb="5">
      <t>ネン</t>
    </rPh>
    <rPh sb="7" eb="8">
      <t>ツキ</t>
    </rPh>
    <rPh sb="11" eb="12">
      <t>ヒ</t>
    </rPh>
    <phoneticPr fontId="2"/>
  </si>
  <si>
    <t>個人配分の方法</t>
    <rPh sb="0" eb="2">
      <t>コジン</t>
    </rPh>
    <rPh sb="2" eb="4">
      <t>ハイブン</t>
    </rPh>
    <rPh sb="5" eb="7">
      <t>ホウホウ</t>
    </rPh>
    <phoneticPr fontId="9"/>
  </si>
  <si>
    <t>個人の所得計</t>
    <rPh sb="0" eb="2">
      <t>コジン</t>
    </rPh>
    <rPh sb="3" eb="5">
      <t>ショトク</t>
    </rPh>
    <rPh sb="5" eb="6">
      <t>ケイ</t>
    </rPh>
    <phoneticPr fontId="9"/>
  </si>
  <si>
    <t>農業外経費計</t>
    <rPh sb="0" eb="3">
      <t>ノウギョウガイ</t>
    </rPh>
    <rPh sb="3" eb="5">
      <t>ケイヒ</t>
    </rPh>
    <rPh sb="5" eb="6">
      <t>ケイ</t>
    </rPh>
    <phoneticPr fontId="9"/>
  </si>
  <si>
    <t>減価償却費計（現年）</t>
    <rPh sb="0" eb="2">
      <t>ゲンカ</t>
    </rPh>
    <rPh sb="2" eb="5">
      <t>ショウキャクヒ</t>
    </rPh>
    <rPh sb="5" eb="6">
      <t>ケイ</t>
    </rPh>
    <rPh sb="7" eb="8">
      <t>ゲン</t>
    </rPh>
    <rPh sb="8" eb="9">
      <t>ネン</t>
    </rPh>
    <phoneticPr fontId="9"/>
  </si>
  <si>
    <t>⑥農業外経費端数調整</t>
    <rPh sb="1" eb="4">
      <t>ノウギョウガイ</t>
    </rPh>
    <rPh sb="4" eb="6">
      <t>ケイヒ</t>
    </rPh>
    <rPh sb="6" eb="8">
      <t>ハスウ</t>
    </rPh>
    <rPh sb="8" eb="10">
      <t>チョウセイ</t>
    </rPh>
    <phoneticPr fontId="9"/>
  </si>
  <si>
    <t>単年減価償却費</t>
    <rPh sb="0" eb="1">
      <t>タン</t>
    </rPh>
    <rPh sb="1" eb="2">
      <t>ドシ</t>
    </rPh>
    <rPh sb="2" eb="4">
      <t>ゲンカ</t>
    </rPh>
    <rPh sb="4" eb="7">
      <t>ショウキャクヒ</t>
    </rPh>
    <phoneticPr fontId="9"/>
  </si>
  <si>
    <t>減価償却資産の計算表（均等割りの場合）</t>
    <rPh sb="0" eb="2">
      <t>ゲンカ</t>
    </rPh>
    <rPh sb="2" eb="4">
      <t>ショウキャク</t>
    </rPh>
    <rPh sb="4" eb="6">
      <t>シサン</t>
    </rPh>
    <rPh sb="7" eb="9">
      <t>ケイサン</t>
    </rPh>
    <rPh sb="9" eb="10">
      <t>ヒョウ</t>
    </rPh>
    <rPh sb="11" eb="13">
      <t>キントウ</t>
    </rPh>
    <rPh sb="13" eb="14">
      <t>ワ</t>
    </rPh>
    <rPh sb="16" eb="18">
      <t>バアイ</t>
    </rPh>
    <phoneticPr fontId="9"/>
  </si>
  <si>
    <t>農業の使用割合%</t>
    <rPh sb="0" eb="2">
      <t>ノウギョウ</t>
    </rPh>
    <rPh sb="3" eb="5">
      <t>シヨウ</t>
    </rPh>
    <rPh sb="5" eb="7">
      <t>ワリアイ</t>
    </rPh>
    <phoneticPr fontId="9"/>
  </si>
  <si>
    <r>
      <t>ⓒ-1　１人当たり２０万円以上</t>
    </r>
    <r>
      <rPr>
        <sz val="14"/>
        <color auto="1"/>
        <rFont val="ＭＳ ゴシック"/>
      </rPr>
      <t>（当年購入のもの）</t>
    </r>
    <rPh sb="5" eb="6">
      <t>ヒト</t>
    </rPh>
    <rPh sb="6" eb="7">
      <t>ア</t>
    </rPh>
    <rPh sb="11" eb="13">
      <t>マンエン</t>
    </rPh>
    <rPh sb="13" eb="15">
      <t>イジョウ</t>
    </rPh>
    <rPh sb="16" eb="18">
      <t>トウネン</t>
    </rPh>
    <rPh sb="18" eb="20">
      <t>コウニュウ</t>
    </rPh>
    <phoneticPr fontId="9"/>
  </si>
  <si>
    <t>ⓐ１人当たり１０万円未満</t>
    <rPh sb="2" eb="3">
      <t>ヒト</t>
    </rPh>
    <rPh sb="3" eb="4">
      <t>ア</t>
    </rPh>
    <rPh sb="8" eb="10">
      <t>マンエン</t>
    </rPh>
    <rPh sb="10" eb="11">
      <t>ミ</t>
    </rPh>
    <rPh sb="11" eb="12">
      <t>マン</t>
    </rPh>
    <phoneticPr fontId="9"/>
  </si>
  <si>
    <t>÷</t>
  </si>
  <si>
    <t>減価償却費（当年分）</t>
    <rPh sb="0" eb="2">
      <t>ゲンカ</t>
    </rPh>
    <rPh sb="2" eb="5">
      <t>ショウキャクヒ</t>
    </rPh>
    <rPh sb="6" eb="8">
      <t>トウネン</t>
    </rPh>
    <rPh sb="8" eb="9">
      <t>ブン</t>
    </rPh>
    <phoneticPr fontId="9"/>
  </si>
  <si>
    <t>令和６年中山間地域等直接支払交付金収支証明書</t>
    <rPh sb="0" eb="2">
      <t>レイワ</t>
    </rPh>
    <rPh sb="3" eb="4">
      <t>ネン</t>
    </rPh>
    <rPh sb="4" eb="5">
      <t>チュウ</t>
    </rPh>
    <rPh sb="5" eb="7">
      <t>サンカン</t>
    </rPh>
    <rPh sb="7" eb="9">
      <t>チイキ</t>
    </rPh>
    <rPh sb="9" eb="10">
      <t>トウ</t>
    </rPh>
    <rPh sb="10" eb="12">
      <t>チョクセツ</t>
    </rPh>
    <rPh sb="12" eb="14">
      <t>シハライ</t>
    </rPh>
    <rPh sb="14" eb="17">
      <t>コウフキン</t>
    </rPh>
    <rPh sb="17" eb="19">
      <t>シュウシ</t>
    </rPh>
    <rPh sb="19" eb="22">
      <t>ショウメイショ</t>
    </rPh>
    <phoneticPr fontId="2"/>
  </si>
  <si>
    <t>当年必要経費となる減価償却費の合計（ⓒ-2）</t>
    <rPh sb="0" eb="2">
      <t>トウネン</t>
    </rPh>
    <rPh sb="2" eb="4">
      <t>ヒツヨウ</t>
    </rPh>
    <rPh sb="4" eb="6">
      <t>ケイヒ</t>
    </rPh>
    <rPh sb="9" eb="11">
      <t>ゲンカ</t>
    </rPh>
    <rPh sb="11" eb="13">
      <t>ショウキャク</t>
    </rPh>
    <rPh sb="13" eb="14">
      <t>ヒ</t>
    </rPh>
    <rPh sb="15" eb="17">
      <t>ゴウケイ</t>
    </rPh>
    <phoneticPr fontId="9"/>
  </si>
  <si>
    <t>個人内訳</t>
    <rPh sb="0" eb="2">
      <t>コジン</t>
    </rPh>
    <rPh sb="2" eb="3">
      <t>ウチ</t>
    </rPh>
    <rPh sb="3" eb="4">
      <t>ヤク</t>
    </rPh>
    <phoneticPr fontId="9"/>
  </si>
  <si>
    <t>うち
当年購入分</t>
    <rPh sb="3" eb="5">
      <t>トウネン</t>
    </rPh>
    <rPh sb="5" eb="8">
      <t>コウニュウブン</t>
    </rPh>
    <phoneticPr fontId="9"/>
  </si>
  <si>
    <t>参加面積（㎡）</t>
    <rPh sb="0" eb="2">
      <t>サンカ</t>
    </rPh>
    <rPh sb="2" eb="4">
      <t>メンセキ</t>
    </rPh>
    <phoneticPr fontId="9"/>
  </si>
  <si>
    <t>R12.7</t>
  </si>
  <si>
    <t>個人配分金額（円）</t>
    <rPh sb="0" eb="2">
      <t>コジン</t>
    </rPh>
    <rPh sb="2" eb="4">
      <t>ハイブン</t>
    </rPh>
    <rPh sb="4" eb="5">
      <t>キン</t>
    </rPh>
    <rPh sb="5" eb="6">
      <t>ガク</t>
    </rPh>
    <rPh sb="7" eb="8">
      <t>エン</t>
    </rPh>
    <phoneticPr fontId="9"/>
  </si>
  <si>
    <t>個人の所得番号</t>
    <rPh sb="0" eb="2">
      <t>コジン</t>
    </rPh>
    <rPh sb="3" eb="5">
      <t>ショトク</t>
    </rPh>
    <rPh sb="5" eb="7">
      <t>バンゴウ</t>
    </rPh>
    <phoneticPr fontId="9"/>
  </si>
  <si>
    <t>農業外経費番号</t>
    <rPh sb="0" eb="3">
      <t>ノウギョウガイ</t>
    </rPh>
    <rPh sb="3" eb="5">
      <t>ケイヒ</t>
    </rPh>
    <rPh sb="5" eb="7">
      <t>バンゴウ</t>
    </rPh>
    <phoneticPr fontId="9"/>
  </si>
  <si>
    <t>当年購入の減価償却資産</t>
    <rPh sb="0" eb="2">
      <t>トウネン</t>
    </rPh>
    <rPh sb="2" eb="4">
      <t>コウニュウ</t>
    </rPh>
    <rPh sb="5" eb="7">
      <t>ゲンカ</t>
    </rPh>
    <rPh sb="7" eb="9">
      <t>ショウキャク</t>
    </rPh>
    <rPh sb="9" eb="11">
      <t>シサン</t>
    </rPh>
    <phoneticPr fontId="9"/>
  </si>
  <si>
    <t>償却期間（報告年を記載）</t>
    <rPh sb="0" eb="2">
      <t>ショウキャク</t>
    </rPh>
    <rPh sb="2" eb="4">
      <t>キカン</t>
    </rPh>
    <rPh sb="5" eb="7">
      <t>ホウコク</t>
    </rPh>
    <rPh sb="7" eb="8">
      <t>ドシ</t>
    </rPh>
    <rPh sb="9" eb="11">
      <t>キサイ</t>
    </rPh>
    <phoneticPr fontId="9"/>
  </si>
  <si>
    <t>現在償却中の減価償却資産</t>
    <rPh sb="0" eb="2">
      <t>ゲンザイ</t>
    </rPh>
    <rPh sb="2" eb="4">
      <t>ショウキャク</t>
    </rPh>
    <rPh sb="4" eb="5">
      <t>ナカ</t>
    </rPh>
    <rPh sb="6" eb="8">
      <t>ゲンカ</t>
    </rPh>
    <rPh sb="8" eb="10">
      <t>ショウキャク</t>
    </rPh>
    <rPh sb="10" eb="12">
      <t>シサン</t>
    </rPh>
    <phoneticPr fontId="9"/>
  </si>
  <si>
    <t>当年</t>
    <rPh sb="0" eb="2">
      <t>トウネン</t>
    </rPh>
    <phoneticPr fontId="9"/>
  </si>
  <si>
    <t>当年・過年</t>
    <rPh sb="0" eb="2">
      <t>トウネン</t>
    </rPh>
    <rPh sb="3" eb="4">
      <t>カ</t>
    </rPh>
    <rPh sb="4" eb="5">
      <t>ネン</t>
    </rPh>
    <phoneticPr fontId="9"/>
  </si>
  <si>
    <t>資産番号</t>
    <rPh sb="0" eb="2">
      <t>シサン</t>
    </rPh>
    <rPh sb="2" eb="4">
      <t>バンゴウ</t>
    </rPh>
    <phoneticPr fontId="9"/>
  </si>
  <si>
    <t>ⓐ番号</t>
    <rPh sb="1" eb="3">
      <t>バンゴウ</t>
    </rPh>
    <phoneticPr fontId="9"/>
  </si>
  <si>
    <t>ⓑ番号</t>
    <rPh sb="1" eb="3">
      <t>バンゴウ</t>
    </rPh>
    <phoneticPr fontId="9"/>
  </si>
  <si>
    <t>⑥その他（　　　　　　　　　　　）</t>
  </si>
  <si>
    <t>直接支払交付金収支報告書との関連：報告書の配分総額と本表の収入合計は一致①+②、報告書の共同取組活動支出額総計と本表⑤は一致します。</t>
    <rPh sb="0" eb="2">
      <t>チョクセツ</t>
    </rPh>
    <rPh sb="2" eb="4">
      <t>シハライ</t>
    </rPh>
    <rPh sb="4" eb="7">
      <t>コウフキン</t>
    </rPh>
    <rPh sb="7" eb="9">
      <t>シュウシ</t>
    </rPh>
    <rPh sb="9" eb="12">
      <t>ホウコクショ</t>
    </rPh>
    <rPh sb="14" eb="16">
      <t>カンレン</t>
    </rPh>
    <rPh sb="17" eb="20">
      <t>ホウコクショ</t>
    </rPh>
    <rPh sb="21" eb="23">
      <t>ハイブン</t>
    </rPh>
    <rPh sb="23" eb="25">
      <t>ソウガク</t>
    </rPh>
    <rPh sb="26" eb="27">
      <t>ホン</t>
    </rPh>
    <rPh sb="27" eb="28">
      <t>ヒョウ</t>
    </rPh>
    <rPh sb="29" eb="31">
      <t>シュウニュウ</t>
    </rPh>
    <rPh sb="31" eb="33">
      <t>ゴウケイ</t>
    </rPh>
    <rPh sb="34" eb="36">
      <t>イッチ</t>
    </rPh>
    <rPh sb="40" eb="43">
      <t>ホウコクショ</t>
    </rPh>
    <rPh sb="44" eb="46">
      <t>キョウドウ</t>
    </rPh>
    <rPh sb="46" eb="48">
      <t>トリクミ</t>
    </rPh>
    <rPh sb="48" eb="50">
      <t>カツドウ</t>
    </rPh>
    <rPh sb="50" eb="53">
      <t>シシュツガク</t>
    </rPh>
    <rPh sb="53" eb="55">
      <t>ソウケイ</t>
    </rPh>
    <rPh sb="56" eb="58">
      <t>ホンピョウ</t>
    </rPh>
    <rPh sb="60" eb="62">
      <t>イッチ</t>
    </rPh>
    <phoneticPr fontId="9"/>
  </si>
  <si>
    <t>H21年以降に取得</t>
    <rPh sb="3" eb="4">
      <t>ネン</t>
    </rPh>
    <rPh sb="4" eb="6">
      <t>イコウ</t>
    </rPh>
    <rPh sb="7" eb="9">
      <t>シュトク</t>
    </rPh>
    <phoneticPr fontId="9"/>
  </si>
  <si>
    <t>収　　入</t>
    <rPh sb="0" eb="1">
      <t>オサム</t>
    </rPh>
    <rPh sb="3" eb="4">
      <t>イリ</t>
    </rPh>
    <phoneticPr fontId="9"/>
  </si>
  <si>
    <t>支　　出</t>
    <rPh sb="0" eb="1">
      <t>ササ</t>
    </rPh>
    <rPh sb="3" eb="4">
      <t>デ</t>
    </rPh>
    <phoneticPr fontId="9"/>
  </si>
  <si>
    <r>
      <t>⑥</t>
    </r>
    <r>
      <rPr>
        <sz val="12"/>
        <color auto="1"/>
        <rFont val="ＭＳ ゴシック"/>
      </rPr>
      <t xml:space="preserve">
⑤の内
必要経費に該当しない経費</t>
    </r>
    <r>
      <rPr>
        <sz val="11"/>
        <color auto="1"/>
        <rFont val="ＭＳ ゴシック"/>
      </rPr>
      <t>（税務上必要経費と認められない経費）</t>
    </r>
    <rPh sb="5" eb="6">
      <t>ウチ</t>
    </rPh>
    <rPh sb="7" eb="9">
      <t>ヒツヨウ</t>
    </rPh>
    <rPh sb="9" eb="11">
      <t>ケイヒ</t>
    </rPh>
    <rPh sb="12" eb="14">
      <t>ガイトウ</t>
    </rPh>
    <rPh sb="17" eb="19">
      <t>ケイヒ</t>
    </rPh>
    <rPh sb="20" eb="23">
      <t>ゼイムジョウ</t>
    </rPh>
    <rPh sb="23" eb="25">
      <t>ヒツヨウ</t>
    </rPh>
    <rPh sb="25" eb="27">
      <t>ケイヒ</t>
    </rPh>
    <rPh sb="28" eb="29">
      <t>ミト</t>
    </rPh>
    <rPh sb="34" eb="36">
      <t>ケイヒ</t>
    </rPh>
    <phoneticPr fontId="9"/>
  </si>
  <si>
    <t>日和九郎</t>
    <rPh sb="0" eb="2">
      <t>ヒワ</t>
    </rPh>
    <rPh sb="2" eb="4">
      <t>クロウ</t>
    </rPh>
    <phoneticPr fontId="32"/>
  </si>
  <si>
    <r>
      <t>②</t>
    </r>
    <r>
      <rPr>
        <sz val="12"/>
        <color auto="1"/>
        <rFont val="ＭＳ ゴシック"/>
      </rPr>
      <t xml:space="preserve">
　共同取組分</t>
    </r>
    <rPh sb="6" eb="8">
      <t>キョウドウ</t>
    </rPh>
    <rPh sb="8" eb="10">
      <t>トリクミ</t>
    </rPh>
    <rPh sb="10" eb="11">
      <t>ブン</t>
    </rPh>
    <phoneticPr fontId="9"/>
  </si>
  <si>
    <r>
      <t>③</t>
    </r>
    <r>
      <rPr>
        <sz val="12"/>
        <color auto="1"/>
        <rFont val="ＭＳ ゴシック"/>
      </rPr>
      <t xml:space="preserve">
　 交付金額
　  ①＋②</t>
    </r>
    <rPh sb="7" eb="10">
      <t>コウフキン</t>
    </rPh>
    <rPh sb="10" eb="11">
      <t>ガク</t>
    </rPh>
    <phoneticPr fontId="9"/>
  </si>
  <si>
    <r>
      <t>【Ａ】</t>
    </r>
    <r>
      <rPr>
        <sz val="12"/>
        <color auto="1"/>
        <rFont val="ＭＳ ゴシック"/>
      </rPr>
      <t xml:space="preserve">
協定参加者等の個人の収入計
    ③＋④</t>
    </r>
    <rPh sb="7" eb="9">
      <t>キョウテイ</t>
    </rPh>
    <rPh sb="9" eb="12">
      <t>サンカシャ</t>
    </rPh>
    <rPh sb="12" eb="13">
      <t>トウ</t>
    </rPh>
    <rPh sb="14" eb="16">
      <t>コジン</t>
    </rPh>
    <rPh sb="17" eb="19">
      <t>シュウニュウ</t>
    </rPh>
    <rPh sb="19" eb="20">
      <t>ケイ</t>
    </rPh>
    <phoneticPr fontId="9"/>
  </si>
  <si>
    <r>
      <t>⑤</t>
    </r>
    <r>
      <rPr>
        <sz val="12"/>
        <color auto="1"/>
        <rFont val="ＭＳ ゴシック"/>
      </rPr>
      <t xml:space="preserve">
共同取組活動分支出計</t>
    </r>
    <rPh sb="5" eb="7">
      <t>キョウドウ</t>
    </rPh>
    <rPh sb="7" eb="9">
      <t>トリクミ</t>
    </rPh>
    <rPh sb="9" eb="11">
      <t>カツドウ</t>
    </rPh>
    <rPh sb="11" eb="12">
      <t>ブン</t>
    </rPh>
    <rPh sb="12" eb="14">
      <t>シシュツ</t>
    </rPh>
    <rPh sb="14" eb="15">
      <t>ケイ</t>
    </rPh>
    <phoneticPr fontId="9"/>
  </si>
  <si>
    <r>
      <t>⑧</t>
    </r>
    <r>
      <rPr>
        <sz val="12"/>
        <color auto="1"/>
        <rFont val="ＭＳ ゴシック"/>
      </rPr>
      <t xml:space="preserve">
　　差引計
　⑤－⑥－⑦</t>
    </r>
    <rPh sb="7" eb="9">
      <t>サシヒキ</t>
    </rPh>
    <rPh sb="9" eb="10">
      <t>ケイ</t>
    </rPh>
    <phoneticPr fontId="9"/>
  </si>
  <si>
    <r>
      <t>ⓒ-2　１人当たり２０万円以上</t>
    </r>
    <r>
      <rPr>
        <sz val="14"/>
        <color auto="1"/>
        <rFont val="ＭＳ ゴシック"/>
      </rPr>
      <t>（償却中のもの）</t>
    </r>
    <rPh sb="5" eb="6">
      <t>ヒト</t>
    </rPh>
    <rPh sb="6" eb="7">
      <t>ア</t>
    </rPh>
    <rPh sb="11" eb="13">
      <t>マンエン</t>
    </rPh>
    <rPh sb="13" eb="15">
      <t>イジョウ</t>
    </rPh>
    <rPh sb="16" eb="18">
      <t>ショウキャク</t>
    </rPh>
    <rPh sb="18" eb="19">
      <t>チュウ</t>
    </rPh>
    <phoneticPr fontId="9"/>
  </si>
  <si>
    <t>【Ｃ】
　　所得額
【Ａ】－【Ｂ】</t>
    <rPh sb="7" eb="10">
      <t>ショトクガク</t>
    </rPh>
    <phoneticPr fontId="9"/>
  </si>
  <si>
    <r>
      <t>⑨</t>
    </r>
    <r>
      <rPr>
        <sz val="12"/>
        <color auto="1"/>
        <rFont val="ＭＳ ゴシック"/>
      </rPr>
      <t xml:space="preserve">
  減価償却費
</t>
    </r>
    <r>
      <rPr>
        <sz val="11"/>
        <color auto="1"/>
        <rFont val="ＭＳ ゴシック"/>
      </rPr>
      <t>（現年・過年で取得した資産の内、今年の減価償却経費となる金額）</t>
    </r>
    <rPh sb="7" eb="9">
      <t>ゲンカ</t>
    </rPh>
    <rPh sb="9" eb="11">
      <t>ショウキャク</t>
    </rPh>
    <rPh sb="11" eb="12">
      <t>ヒ</t>
    </rPh>
    <rPh sb="14" eb="15">
      <t>ゲン</t>
    </rPh>
    <rPh sb="15" eb="16">
      <t>ネン</t>
    </rPh>
    <rPh sb="17" eb="18">
      <t>カ</t>
    </rPh>
    <rPh sb="18" eb="19">
      <t>ネン</t>
    </rPh>
    <rPh sb="20" eb="22">
      <t>シュトク</t>
    </rPh>
    <rPh sb="24" eb="26">
      <t>シサン</t>
    </rPh>
    <rPh sb="27" eb="28">
      <t>ウチ</t>
    </rPh>
    <rPh sb="29" eb="31">
      <t>コトシ</t>
    </rPh>
    <rPh sb="32" eb="34">
      <t>ゲンカ</t>
    </rPh>
    <rPh sb="34" eb="36">
      <t>ショウキャク</t>
    </rPh>
    <rPh sb="36" eb="38">
      <t>ケイヒ</t>
    </rPh>
    <rPh sb="41" eb="43">
      <t>キンガク</t>
    </rPh>
    <phoneticPr fontId="9"/>
  </si>
  <si>
    <t>当年における
個人の減価償却費合計</t>
    <rPh sb="0" eb="2">
      <t>トウネン</t>
    </rPh>
    <rPh sb="7" eb="9">
      <t>コジン</t>
    </rPh>
    <rPh sb="10" eb="12">
      <t>ゲンカ</t>
    </rPh>
    <rPh sb="12" eb="15">
      <t>ショウキャクヒ</t>
    </rPh>
    <rPh sb="15" eb="17">
      <t>ゴウケイ</t>
    </rPh>
    <phoneticPr fontId="9"/>
  </si>
  <si>
    <r>
      <t>【Ｃ】</t>
    </r>
    <r>
      <rPr>
        <sz val="12"/>
        <color auto="1"/>
        <rFont val="ＭＳ ゴシック"/>
      </rPr>
      <t xml:space="preserve">
　　所得額
【Ａ】－【Ｂ】</t>
    </r>
    <rPh sb="11" eb="14">
      <t>ショトクガク</t>
    </rPh>
    <phoneticPr fontId="9"/>
  </si>
  <si>
    <r>
      <t xml:space="preserve">
協定参加者の集落名・班名
</t>
    </r>
    <r>
      <rPr>
        <sz val="11"/>
        <color auto="1"/>
        <rFont val="ＭＳ ゴシック"/>
      </rPr>
      <t>（町外は住所等）</t>
    </r>
    <rPh sb="2" eb="4">
      <t>キョウテイ</t>
    </rPh>
    <rPh sb="4" eb="7">
      <t>サンカシャ</t>
    </rPh>
    <rPh sb="8" eb="9">
      <t>シュウ</t>
    </rPh>
    <rPh sb="9" eb="10">
      <t>オチ</t>
    </rPh>
    <rPh sb="10" eb="11">
      <t>メイ</t>
    </rPh>
    <rPh sb="12" eb="13">
      <t>ハン</t>
    </rPh>
    <rPh sb="13" eb="14">
      <t>メイ</t>
    </rPh>
    <rPh sb="16" eb="18">
      <t>チョウガイ</t>
    </rPh>
    <rPh sb="19" eb="21">
      <t>ジュウショ</t>
    </rPh>
    <rPh sb="21" eb="22">
      <t>トウ</t>
    </rPh>
    <phoneticPr fontId="9"/>
  </si>
  <si>
    <r>
      <t>共同取組分として支出した活動費の中に</t>
    </r>
    <r>
      <rPr>
        <u/>
        <sz val="12"/>
        <color auto="1"/>
        <rFont val="ＭＳ ゴシック"/>
      </rPr>
      <t>役員報酬や賃金など個人に支払った金額は、協定参加者個人の収入として再計上</t>
    </r>
    <r>
      <rPr>
        <sz val="12"/>
        <color auto="1"/>
        <rFont val="ＭＳ ゴシック"/>
      </rPr>
      <t>しなければなりません。④</t>
    </r>
    <rPh sb="0" eb="2">
      <t>キョウドウ</t>
    </rPh>
    <rPh sb="2" eb="4">
      <t>トリクミ</t>
    </rPh>
    <rPh sb="4" eb="5">
      <t>ブン</t>
    </rPh>
    <rPh sb="8" eb="10">
      <t>シシュツ</t>
    </rPh>
    <rPh sb="12" eb="15">
      <t>カツドウヒ</t>
    </rPh>
    <rPh sb="16" eb="17">
      <t>ナカ</t>
    </rPh>
    <rPh sb="18" eb="20">
      <t>ヤクイン</t>
    </rPh>
    <rPh sb="20" eb="22">
      <t>ホウシュウ</t>
    </rPh>
    <rPh sb="23" eb="25">
      <t>チンギン</t>
    </rPh>
    <rPh sb="27" eb="29">
      <t>コジン</t>
    </rPh>
    <rPh sb="30" eb="32">
      <t>シハラ</t>
    </rPh>
    <rPh sb="34" eb="36">
      <t>キンガク</t>
    </rPh>
    <rPh sb="38" eb="40">
      <t>キョウテイ</t>
    </rPh>
    <rPh sb="40" eb="43">
      <t>サンカシャ</t>
    </rPh>
    <rPh sb="43" eb="45">
      <t>コジン</t>
    </rPh>
    <rPh sb="46" eb="48">
      <t>シュウニュウ</t>
    </rPh>
    <rPh sb="51" eb="52">
      <t>サイ</t>
    </rPh>
    <rPh sb="52" eb="54">
      <t>ケイジョウ</t>
    </rPh>
    <phoneticPr fontId="9"/>
  </si>
  <si>
    <t>H20年以前に取得</t>
    <rPh sb="3" eb="4">
      <t>ネン</t>
    </rPh>
    <rPh sb="4" eb="6">
      <t>イゼン</t>
    </rPh>
    <rPh sb="7" eb="9">
      <t>シュトク</t>
    </rPh>
    <phoneticPr fontId="9"/>
  </si>
  <si>
    <t>交付金額</t>
    <rPh sb="0" eb="3">
      <t>コウフキン</t>
    </rPh>
    <rPh sb="3" eb="4">
      <t>ガク</t>
    </rPh>
    <phoneticPr fontId="9"/>
  </si>
  <si>
    <t>○</t>
  </si>
  <si>
    <t>＝</t>
  </si>
  <si>
    <t xml:space="preserve"> </t>
  </si>
  <si>
    <t>×</t>
  </si>
  <si>
    <t>減価償却のある集落については資料４～５も入力（資料４は必須ではない）</t>
  </si>
  <si>
    <t>～</t>
  </si>
  <si>
    <t>②</t>
  </si>
  <si>
    <t>③</t>
  </si>
  <si>
    <t>④</t>
  </si>
  <si>
    <t>田植機</t>
    <rPh sb="0" eb="3">
      <t>タウエキ</t>
    </rPh>
    <phoneticPr fontId="9"/>
  </si>
  <si>
    <t>⑤</t>
  </si>
  <si>
    <t>⑥</t>
  </si>
  <si>
    <t>個人の所得内訳（役員報酬・手当・賃金等）</t>
    <rPh sb="0" eb="2">
      <t>コジン</t>
    </rPh>
    <rPh sb="3" eb="5">
      <t>ショトク</t>
    </rPh>
    <rPh sb="5" eb="7">
      <t>ウチワケ</t>
    </rPh>
    <rPh sb="8" eb="10">
      <t>ヤクイン</t>
    </rPh>
    <rPh sb="10" eb="12">
      <t>ホウシュウ</t>
    </rPh>
    <rPh sb="13" eb="15">
      <t>テアテ</t>
    </rPh>
    <rPh sb="16" eb="18">
      <t>チンギン</t>
    </rPh>
    <rPh sb="18" eb="19">
      <t>トウ</t>
    </rPh>
    <phoneticPr fontId="9"/>
  </si>
  <si>
    <r>
      <t>⑦</t>
    </r>
    <r>
      <rPr>
        <sz val="12"/>
        <color auto="1"/>
        <rFont val="ＭＳ ゴシック"/>
      </rPr>
      <t xml:space="preserve">
⑤の内
減価償却資産の取得額</t>
    </r>
    <r>
      <rPr>
        <sz val="11"/>
        <color auto="1"/>
        <rFont val="ＭＳ ゴシック"/>
      </rPr>
      <t>（共同取組分の中で支出した金額）</t>
    </r>
    <rPh sb="5" eb="6">
      <t>ウチ</t>
    </rPh>
    <rPh sb="7" eb="9">
      <t>ゲンカ</t>
    </rPh>
    <rPh sb="9" eb="11">
      <t>ショウキャク</t>
    </rPh>
    <rPh sb="11" eb="13">
      <t>シサン</t>
    </rPh>
    <rPh sb="14" eb="16">
      <t>シュトク</t>
    </rPh>
    <rPh sb="16" eb="17">
      <t>ガク</t>
    </rPh>
    <rPh sb="18" eb="20">
      <t>キョウドウ</t>
    </rPh>
    <rPh sb="20" eb="22">
      <t>トリクミ</t>
    </rPh>
    <rPh sb="22" eb="23">
      <t>ブン</t>
    </rPh>
    <rPh sb="24" eb="25">
      <t>ナカ</t>
    </rPh>
    <rPh sb="26" eb="28">
      <t>シシュツ</t>
    </rPh>
    <rPh sb="30" eb="32">
      <t>キンガク</t>
    </rPh>
    <phoneticPr fontId="9"/>
  </si>
  <si>
    <t>当年残（積立）額</t>
    <rPh sb="0" eb="2">
      <t>トウネン</t>
    </rPh>
    <rPh sb="2" eb="3">
      <t>ザン</t>
    </rPh>
    <rPh sb="4" eb="6">
      <t>ツミタテ</t>
    </rPh>
    <rPh sb="7" eb="8">
      <t>ガク</t>
    </rPh>
    <phoneticPr fontId="2"/>
  </si>
  <si>
    <t>　積立からの支出内容</t>
    <rPh sb="1" eb="2">
      <t>セキ</t>
    </rPh>
    <rPh sb="2" eb="3">
      <t>タ</t>
    </rPh>
    <rPh sb="6" eb="8">
      <t>シシュツ</t>
    </rPh>
    <rPh sb="8" eb="10">
      <t>ナイヨウ</t>
    </rPh>
    <phoneticPr fontId="2"/>
  </si>
  <si>
    <t>　うち積立より支出金額</t>
    <rPh sb="3" eb="5">
      <t>ツミタテ</t>
    </rPh>
    <rPh sb="7" eb="9">
      <t>シシュツ</t>
    </rPh>
    <rPh sb="9" eb="11">
      <t>キンガク</t>
    </rPh>
    <phoneticPr fontId="2"/>
  </si>
  <si>
    <t>集落名</t>
    <rPh sb="0" eb="2">
      <t>シュウラク</t>
    </rPh>
    <rPh sb="2" eb="3">
      <t>メイ</t>
    </rPh>
    <phoneticPr fontId="2"/>
  </si>
  <si>
    <t>農具舎、農作業場（木造建物）</t>
    <rPh sb="0" eb="2">
      <t>ノウグ</t>
    </rPh>
    <rPh sb="2" eb="3">
      <t>シャ</t>
    </rPh>
    <rPh sb="4" eb="7">
      <t>ノウサギョウ</t>
    </rPh>
    <rPh sb="7" eb="8">
      <t>バ</t>
    </rPh>
    <rPh sb="9" eb="11">
      <t>モクゾウ</t>
    </rPh>
    <rPh sb="11" eb="13">
      <t>タテモノ</t>
    </rPh>
    <phoneticPr fontId="9"/>
  </si>
  <si>
    <t>協定参加者等氏名</t>
    <rPh sb="0" eb="2">
      <t>キョウテイ</t>
    </rPh>
    <rPh sb="2" eb="5">
      <t>サンカシャ</t>
    </rPh>
    <rPh sb="5" eb="6">
      <t>トウ</t>
    </rPh>
    <rPh sb="6" eb="8">
      <t>シメイ</t>
    </rPh>
    <phoneticPr fontId="2"/>
  </si>
  <si>
    <t>（注）この計算表は、確定申告の参考資料としてください。</t>
    <rPh sb="1" eb="2">
      <t>チュウ</t>
    </rPh>
    <rPh sb="5" eb="8">
      <t>ケイサンヒョウ</t>
    </rPh>
    <rPh sb="10" eb="12">
      <t>カクテイ</t>
    </rPh>
    <rPh sb="12" eb="14">
      <t>シンコク</t>
    </rPh>
    <rPh sb="15" eb="17">
      <t>サンコウ</t>
    </rPh>
    <rPh sb="17" eb="19">
      <t>シリョウ</t>
    </rPh>
    <phoneticPr fontId="2"/>
  </si>
  <si>
    <t xml:space="preserve">③
　 　交付金額
(個人配分＋共同取組）
　 </t>
    <rPh sb="12" eb="14">
      <t>コジン</t>
    </rPh>
    <rPh sb="14" eb="16">
      <t>ハイブン</t>
    </rPh>
    <rPh sb="17" eb="19">
      <t>キョウドウ</t>
    </rPh>
    <rPh sb="19" eb="21">
      <t>トリクミ</t>
    </rPh>
    <phoneticPr fontId="2"/>
  </si>
  <si>
    <t>⑥
⑤の内
必要経費に該当しない経費（税務上必要経費と認められない経費）</t>
    <rPh sb="4" eb="5">
      <t>ウチ</t>
    </rPh>
    <rPh sb="6" eb="8">
      <t>ヒツヨウ</t>
    </rPh>
    <rPh sb="8" eb="10">
      <t>ケイヒ</t>
    </rPh>
    <rPh sb="11" eb="13">
      <t>ガイトウ</t>
    </rPh>
    <rPh sb="16" eb="18">
      <t>ケイヒ</t>
    </rPh>
    <rPh sb="19" eb="22">
      <t>ゼイムジョウ</t>
    </rPh>
    <rPh sb="22" eb="24">
      <t>ヒツヨウ</t>
    </rPh>
    <rPh sb="24" eb="26">
      <t>ケイヒ</t>
    </rPh>
    <rPh sb="27" eb="28">
      <t>ミト</t>
    </rPh>
    <rPh sb="33" eb="35">
      <t>ケイヒ</t>
    </rPh>
    <phoneticPr fontId="9"/>
  </si>
  <si>
    <t>出羽三郎</t>
    <rPh sb="0" eb="2">
      <t>デワ</t>
    </rPh>
    <rPh sb="2" eb="4">
      <t>サブロウ</t>
    </rPh>
    <phoneticPr fontId="32"/>
  </si>
  <si>
    <t>【Ｂ】
   必要経費
    ⑧＋⑨</t>
    <rPh sb="8" eb="10">
      <t>ヒツヨウ</t>
    </rPh>
    <rPh sb="10" eb="12">
      <t>ケイヒ</t>
    </rPh>
    <phoneticPr fontId="9"/>
  </si>
  <si>
    <t>【Ａ】
協定参加者等の個人の収入計
    ③＋④</t>
  </si>
  <si>
    <t>⑨
  減価償却費
（現年・過年で取得した資産の内、今年の減価償却経費となる金額）</t>
    <rPh sb="5" eb="7">
      <t>ゲンカ</t>
    </rPh>
    <rPh sb="7" eb="9">
      <t>ショウキャク</t>
    </rPh>
    <rPh sb="9" eb="10">
      <t>ヒ</t>
    </rPh>
    <rPh sb="12" eb="13">
      <t>ゲン</t>
    </rPh>
    <rPh sb="13" eb="14">
      <t>ネン</t>
    </rPh>
    <rPh sb="15" eb="16">
      <t>カ</t>
    </rPh>
    <rPh sb="16" eb="17">
      <t>ネン</t>
    </rPh>
    <rPh sb="18" eb="20">
      <t>シュトク</t>
    </rPh>
    <rPh sb="22" eb="24">
      <t>シサン</t>
    </rPh>
    <rPh sb="25" eb="26">
      <t>ウチ</t>
    </rPh>
    <rPh sb="27" eb="29">
      <t>コトシ</t>
    </rPh>
    <rPh sb="30" eb="32">
      <t>ゲンカ</t>
    </rPh>
    <rPh sb="32" eb="34">
      <t>ショウキャク</t>
    </rPh>
    <rPh sb="34" eb="36">
      <t>ケイヒ</t>
    </rPh>
    <rPh sb="39" eb="41">
      <t>キンガク</t>
    </rPh>
    <phoneticPr fontId="9"/>
  </si>
  <si>
    <t>作成方法</t>
  </si>
  <si>
    <t>資料１～３まで緑の枠を入力していく</t>
  </si>
  <si>
    <t>参加者別所得細目表の減価償却欄の入力をする（資料４，５参考にして）</t>
  </si>
  <si>
    <t>収支報告書、参加者別所得細目表に計算結果が転記される。（完成）</t>
  </si>
  <si>
    <t>注意：端数調整は参加者番号１から順に行っている。</t>
    <rPh sb="0" eb="2">
      <t>チュウイ</t>
    </rPh>
    <rPh sb="3" eb="5">
      <t>ハスウ</t>
    </rPh>
    <rPh sb="5" eb="7">
      <t>チョウセイ</t>
    </rPh>
    <rPh sb="8" eb="11">
      <t>サンカシャ</t>
    </rPh>
    <rPh sb="11" eb="13">
      <t>バンゴウ</t>
    </rPh>
    <rPh sb="16" eb="17">
      <t>ジュン</t>
    </rPh>
    <rPh sb="18" eb="19">
      <t>オコナ</t>
    </rPh>
    <phoneticPr fontId="9"/>
  </si>
  <si>
    <t>　　　活動によって按分方法が異なる場合は数式対応していません。</t>
    <rPh sb="3" eb="5">
      <t>カツドウ</t>
    </rPh>
    <rPh sb="9" eb="11">
      <t>アンブン</t>
    </rPh>
    <rPh sb="11" eb="13">
      <t>ホウホウ</t>
    </rPh>
    <rPh sb="14" eb="15">
      <t>コト</t>
    </rPh>
    <rPh sb="17" eb="19">
      <t>バアイ</t>
    </rPh>
    <rPh sb="20" eb="22">
      <t>スウシキ</t>
    </rPh>
    <rPh sb="22" eb="24">
      <t>タイオウ</t>
    </rPh>
    <phoneticPr fontId="9"/>
  </si>
  <si>
    <t>当年必要経費となる減価償却費の合計（ⓒ-1）</t>
    <rPh sb="0" eb="2">
      <t>トウネン</t>
    </rPh>
    <rPh sb="2" eb="4">
      <t>ヒツヨウ</t>
    </rPh>
    <rPh sb="4" eb="6">
      <t>ケイヒ</t>
    </rPh>
    <rPh sb="9" eb="11">
      <t>ゲンカ</t>
    </rPh>
    <rPh sb="11" eb="13">
      <t>ショウキャク</t>
    </rPh>
    <rPh sb="13" eb="14">
      <t>ヒ</t>
    </rPh>
    <rPh sb="15" eb="17">
      <t>ゴウケイ</t>
    </rPh>
    <phoneticPr fontId="9"/>
  </si>
  <si>
    <t>農機具</t>
    <rPh sb="0" eb="3">
      <t>ノウキグ</t>
    </rPh>
    <phoneticPr fontId="9"/>
  </si>
  <si>
    <t>阿須那花子</t>
    <rPh sb="0" eb="1">
      <t>ア</t>
    </rPh>
    <rPh sb="1" eb="2">
      <t>ス</t>
    </rPh>
    <rPh sb="2" eb="3">
      <t>ナ</t>
    </rPh>
    <rPh sb="3" eb="5">
      <t>ハナコ</t>
    </rPh>
    <phoneticPr fontId="32"/>
  </si>
  <si>
    <t>トラクタA</t>
  </si>
  <si>
    <t>口羽太郎</t>
    <rPh sb="0" eb="2">
      <t>クチバ</t>
    </rPh>
    <rPh sb="2" eb="4">
      <t>タロウ</t>
    </rPh>
    <phoneticPr fontId="32"/>
  </si>
  <si>
    <t>コンバイン</t>
  </si>
  <si>
    <t>トラクタB</t>
  </si>
  <si>
    <t>主な減価償却資産の償却率は下表を参考にして下さい。</t>
    <rPh sb="0" eb="1">
      <t>オモ</t>
    </rPh>
    <rPh sb="2" eb="4">
      <t>ゲンカ</t>
    </rPh>
    <rPh sb="4" eb="6">
      <t>ショウキャク</t>
    </rPh>
    <rPh sb="6" eb="8">
      <t>シサン</t>
    </rPh>
    <rPh sb="9" eb="12">
      <t>ショウキャクリツ</t>
    </rPh>
    <rPh sb="13" eb="15">
      <t>カヒョウ</t>
    </rPh>
    <rPh sb="16" eb="18">
      <t>サンコウ</t>
    </rPh>
    <rPh sb="21" eb="22">
      <t>クダ</t>
    </rPh>
    <phoneticPr fontId="9"/>
  </si>
  <si>
    <t>１人当りの減価償却費が
 ⓐ10万円未満
   →全額当年の必要経費
 ⓑ10万円以上20万円未満
   →耐用年数又は3年間同額で償却
 ⓒ20万円以上
   →耐用年数で償却</t>
    <rPh sb="1" eb="2">
      <t>ヒト</t>
    </rPh>
    <rPh sb="2" eb="3">
      <t>ア</t>
    </rPh>
    <rPh sb="5" eb="7">
      <t>ゲンカ</t>
    </rPh>
    <rPh sb="7" eb="10">
      <t>ショウキャクヒ</t>
    </rPh>
    <rPh sb="17" eb="18">
      <t>マン</t>
    </rPh>
    <rPh sb="18" eb="21">
      <t>エンミマン</t>
    </rPh>
    <rPh sb="26" eb="28">
      <t>ゼンガク</t>
    </rPh>
    <rPh sb="28" eb="30">
      <t>トウネン</t>
    </rPh>
    <rPh sb="31" eb="33">
      <t>ヒツヨウ</t>
    </rPh>
    <rPh sb="33" eb="35">
      <t>ケイヒ</t>
    </rPh>
    <rPh sb="40" eb="41">
      <t>マン</t>
    </rPh>
    <rPh sb="41" eb="44">
      <t>エンイジョウ</t>
    </rPh>
    <rPh sb="46" eb="47">
      <t>マン</t>
    </rPh>
    <rPh sb="47" eb="50">
      <t>エンミマン</t>
    </rPh>
    <rPh sb="55" eb="57">
      <t>タイヨウ</t>
    </rPh>
    <rPh sb="57" eb="59">
      <t>ネンスウ</t>
    </rPh>
    <rPh sb="59" eb="60">
      <t>マタ</t>
    </rPh>
    <rPh sb="62" eb="63">
      <t>ネン</t>
    </rPh>
    <rPh sb="63" eb="64">
      <t>カン</t>
    </rPh>
    <rPh sb="64" eb="66">
      <t>ドウガク</t>
    </rPh>
    <rPh sb="67" eb="69">
      <t>ショウキャク</t>
    </rPh>
    <rPh sb="74" eb="75">
      <t>マン</t>
    </rPh>
    <rPh sb="75" eb="78">
      <t>エンイジョウ</t>
    </rPh>
    <rPh sb="83" eb="85">
      <t>タイヨウ</t>
    </rPh>
    <rPh sb="85" eb="87">
      <t>ネンスウ</t>
    </rPh>
    <rPh sb="88" eb="90">
      <t>ショウキャク</t>
    </rPh>
    <phoneticPr fontId="9"/>
  </si>
  <si>
    <t>１人当りの減価償却費が
 ⓑ10万円以上20万円未満
   →耐用年数又は3年間同額で償却
 ⓒ20万円以上
   →耐用年数で償却</t>
    <rPh sb="1" eb="2">
      <t>ヒト</t>
    </rPh>
    <rPh sb="2" eb="3">
      <t>ア</t>
    </rPh>
    <rPh sb="5" eb="7">
      <t>ゲンカ</t>
    </rPh>
    <rPh sb="7" eb="10">
      <t>ショウキャクヒ</t>
    </rPh>
    <rPh sb="17" eb="18">
      <t>マン</t>
    </rPh>
    <rPh sb="18" eb="21">
      <t>エンイジョウ</t>
    </rPh>
    <rPh sb="23" eb="24">
      <t>マン</t>
    </rPh>
    <rPh sb="24" eb="27">
      <t>エンミマン</t>
    </rPh>
    <rPh sb="32" eb="34">
      <t>タイヨウ</t>
    </rPh>
    <rPh sb="34" eb="36">
      <t>ネンスウ</t>
    </rPh>
    <rPh sb="36" eb="37">
      <t>マタ</t>
    </rPh>
    <rPh sb="39" eb="40">
      <t>ネン</t>
    </rPh>
    <rPh sb="40" eb="41">
      <t>カン</t>
    </rPh>
    <rPh sb="41" eb="43">
      <t>ドウガク</t>
    </rPh>
    <rPh sb="44" eb="46">
      <t>ショウキャク</t>
    </rPh>
    <rPh sb="51" eb="52">
      <t>マン</t>
    </rPh>
    <rPh sb="52" eb="55">
      <t>エンイジョウ</t>
    </rPh>
    <rPh sb="60" eb="62">
      <t>タイヨウ</t>
    </rPh>
    <rPh sb="62" eb="64">
      <t>ネンスウ</t>
    </rPh>
    <rPh sb="65" eb="67">
      <t>ショウキャク</t>
    </rPh>
    <phoneticPr fontId="9"/>
  </si>
  <si>
    <t>１人当りの所要額</t>
    <rPh sb="1" eb="2">
      <t>ヒト</t>
    </rPh>
    <rPh sb="2" eb="3">
      <t>ア</t>
    </rPh>
    <rPh sb="5" eb="7">
      <t>ショヨウ</t>
    </rPh>
    <rPh sb="7" eb="8">
      <t>ガク</t>
    </rPh>
    <phoneticPr fontId="9"/>
  </si>
  <si>
    <t>（　　　　　　　　）集落協定/代表者（　　　　　　　　　　　　　）</t>
    <rPh sb="10" eb="12">
      <t>シュウラク</t>
    </rPh>
    <rPh sb="12" eb="14">
      <t>キョウテイ</t>
    </rPh>
    <rPh sb="15" eb="18">
      <t>ダイヒョウシャ</t>
    </rPh>
    <phoneticPr fontId="9"/>
  </si>
  <si>
    <t>１人当り所要額</t>
    <rPh sb="1" eb="2">
      <t>ヒト</t>
    </rPh>
    <rPh sb="2" eb="3">
      <t>ア</t>
    </rPh>
    <rPh sb="4" eb="7">
      <t>ショヨウガク</t>
    </rPh>
    <phoneticPr fontId="9"/>
  </si>
  <si>
    <t>耐用年数</t>
    <rPh sb="0" eb="2">
      <t>タイヨウ</t>
    </rPh>
    <rPh sb="2" eb="4">
      <t>ネンスウ</t>
    </rPh>
    <phoneticPr fontId="9"/>
  </si>
  <si>
    <t>役員報酬</t>
    <rPh sb="0" eb="2">
      <t>ヤクイン</t>
    </rPh>
    <rPh sb="2" eb="4">
      <t>ホウシュウ</t>
    </rPh>
    <phoneticPr fontId="32"/>
  </si>
  <si>
    <t>事務消耗品</t>
    <rPh sb="0" eb="2">
      <t>ジム</t>
    </rPh>
    <rPh sb="2" eb="4">
      <t>ショウモウ</t>
    </rPh>
    <rPh sb="4" eb="5">
      <t>ヒン</t>
    </rPh>
    <phoneticPr fontId="32"/>
  </si>
  <si>
    <t>(     　　　　 )集落協定／代表者(　　    　          　)</t>
    <rPh sb="12" eb="14">
      <t>シュウラク</t>
    </rPh>
    <rPh sb="14" eb="16">
      <t>キョウテイ</t>
    </rPh>
    <rPh sb="17" eb="20">
      <t>ダイヒョウシャ</t>
    </rPh>
    <phoneticPr fontId="9"/>
  </si>
  <si>
    <t>布施一郎</t>
    <rPh sb="0" eb="2">
      <t>フセ</t>
    </rPh>
    <rPh sb="2" eb="4">
      <t>イチロウ</t>
    </rPh>
    <phoneticPr fontId="32"/>
  </si>
  <si>
    <t>市木五郎</t>
    <rPh sb="0" eb="2">
      <t>イチギ</t>
    </rPh>
    <rPh sb="2" eb="4">
      <t>ゴロウ</t>
    </rPh>
    <phoneticPr fontId="32"/>
  </si>
  <si>
    <t>井原六郎</t>
    <rPh sb="0" eb="2">
      <t>イハラ</t>
    </rPh>
    <rPh sb="2" eb="4">
      <t>ロクロウ</t>
    </rPh>
    <phoneticPr fontId="32"/>
  </si>
  <si>
    <t>中野七郎</t>
    <rPh sb="0" eb="2">
      <t>ナカノ</t>
    </rPh>
    <rPh sb="2" eb="4">
      <t>シチロウ</t>
    </rPh>
    <phoneticPr fontId="32"/>
  </si>
  <si>
    <t>矢上八郎</t>
    <rPh sb="0" eb="2">
      <t>ヤカミ</t>
    </rPh>
    <rPh sb="2" eb="4">
      <t>ハチロウ</t>
    </rPh>
    <phoneticPr fontId="32"/>
  </si>
  <si>
    <t>日貫十兵衛</t>
    <rPh sb="0" eb="2">
      <t>ヒカン</t>
    </rPh>
    <rPh sb="2" eb="5">
      <t>ジュウベエ</t>
    </rPh>
    <phoneticPr fontId="32"/>
  </si>
  <si>
    <t>邑南集落</t>
    <rPh sb="0" eb="2">
      <t>オオナン</t>
    </rPh>
    <rPh sb="2" eb="4">
      <t>シュウラク</t>
    </rPh>
    <phoneticPr fontId="32"/>
  </si>
  <si>
    <t>共同防除日当</t>
    <rPh sb="0" eb="2">
      <t>キョウドウ</t>
    </rPh>
    <rPh sb="2" eb="4">
      <t>ボウジョ</t>
    </rPh>
    <rPh sb="4" eb="6">
      <t>ニットウ</t>
    </rPh>
    <phoneticPr fontId="32"/>
  </si>
  <si>
    <t>共同防除薬剤</t>
    <rPh sb="0" eb="2">
      <t>キョウドウ</t>
    </rPh>
    <rPh sb="2" eb="4">
      <t>ボウジョ</t>
    </rPh>
    <rPh sb="4" eb="6">
      <t>ヤクザイ</t>
    </rPh>
    <phoneticPr fontId="32"/>
  </si>
  <si>
    <t>景観作物種子</t>
    <rPh sb="0" eb="2">
      <t>ケイカン</t>
    </rPh>
    <rPh sb="2" eb="4">
      <t>サクモツ</t>
    </rPh>
    <rPh sb="4" eb="6">
      <t>シュシ</t>
    </rPh>
    <phoneticPr fontId="32"/>
  </si>
  <si>
    <t>水路補修作業日当</t>
    <rPh sb="0" eb="2">
      <t>スイロ</t>
    </rPh>
    <rPh sb="2" eb="4">
      <t>ホシュウ</t>
    </rPh>
    <rPh sb="4" eb="6">
      <t>サギョウ</t>
    </rPh>
    <rPh sb="6" eb="8">
      <t>ニットウ</t>
    </rPh>
    <phoneticPr fontId="32"/>
  </si>
  <si>
    <t>水路泥上げ日当</t>
    <rPh sb="0" eb="2">
      <t>スイロ</t>
    </rPh>
    <rPh sb="2" eb="3">
      <t>ドロ</t>
    </rPh>
    <rPh sb="3" eb="4">
      <t>ア</t>
    </rPh>
    <rPh sb="5" eb="7">
      <t>ニットウ</t>
    </rPh>
    <phoneticPr fontId="32"/>
  </si>
  <si>
    <t>R3.5</t>
  </si>
  <si>
    <t>減価償却資産名</t>
    <rPh sb="0" eb="2">
      <t>ゲンカ</t>
    </rPh>
    <rPh sb="2" eb="4">
      <t>ショウキャク</t>
    </rPh>
    <rPh sb="4" eb="6">
      <t>シサン</t>
    </rPh>
    <rPh sb="6" eb="7">
      <t>メイ</t>
    </rPh>
    <phoneticPr fontId="9"/>
  </si>
  <si>
    <t>軽自動車（軽トラック）</t>
    <rPh sb="0" eb="4">
      <t>ケイジドウシャ</t>
    </rPh>
    <rPh sb="5" eb="6">
      <t>ケイ</t>
    </rPh>
    <phoneticPr fontId="9"/>
  </si>
  <si>
    <t>共同機械（ドローン）</t>
    <rPh sb="0" eb="2">
      <t>キョウドウ</t>
    </rPh>
    <rPh sb="2" eb="4">
      <t>キカイ</t>
    </rPh>
    <phoneticPr fontId="2"/>
  </si>
  <si>
    <t>R6.12</t>
  </si>
  <si>
    <t>R5.3</t>
  </si>
  <si>
    <t>R12.10</t>
  </si>
  <si>
    <t>R5.8</t>
  </si>
  <si>
    <t>R5.11</t>
  </si>
  <si>
    <t>R12.2</t>
  </si>
  <si>
    <t>　　大　屋　光　宏　様</t>
    <rPh sb="2" eb="3">
      <t>ダイ</t>
    </rPh>
    <rPh sb="4" eb="5">
      <t>ヤ</t>
    </rPh>
    <rPh sb="6" eb="7">
      <t>ヒカリ</t>
    </rPh>
    <rPh sb="8" eb="9">
      <t>ヒロシ</t>
    </rPh>
    <rPh sb="10" eb="11">
      <t>サマ</t>
    </rPh>
    <phoneticPr fontId="2"/>
  </si>
  <si>
    <t>令和６年中山間地域等直接支払交付金収支報告書</t>
    <rPh sb="0" eb="2">
      <t>レイワ</t>
    </rPh>
    <rPh sb="3" eb="4">
      <t>ネン</t>
    </rPh>
    <rPh sb="4" eb="5">
      <t>チュウ</t>
    </rPh>
    <rPh sb="5" eb="7">
      <t>サンカン</t>
    </rPh>
    <rPh sb="7" eb="9">
      <t>チイキ</t>
    </rPh>
    <rPh sb="9" eb="10">
      <t>トウ</t>
    </rPh>
    <rPh sb="10" eb="12">
      <t>チョクセツ</t>
    </rPh>
    <rPh sb="12" eb="14">
      <t>シハライ</t>
    </rPh>
    <rPh sb="14" eb="17">
      <t>コウフキン</t>
    </rPh>
    <rPh sb="17" eb="19">
      <t>シュウシ</t>
    </rPh>
    <rPh sb="19" eb="21">
      <t>ホウコク</t>
    </rPh>
    <rPh sb="21" eb="22">
      <t>ショ</t>
    </rPh>
    <phoneticPr fontId="2"/>
  </si>
  <si>
    <t>邑南町長　　大　屋　光　宏</t>
    <rPh sb="0" eb="1">
      <t>ムラ</t>
    </rPh>
    <rPh sb="1" eb="2">
      <t>ミナミ</t>
    </rPh>
    <rPh sb="2" eb="4">
      <t>チョウチョウ</t>
    </rPh>
    <rPh sb="6" eb="7">
      <t>ダイ</t>
    </rPh>
    <rPh sb="8" eb="9">
      <t>ヤ</t>
    </rPh>
    <rPh sb="10" eb="11">
      <t>ヒカリ</t>
    </rPh>
    <rPh sb="12" eb="13">
      <t>ヒロシ</t>
    </rPh>
    <phoneticPr fontId="2"/>
  </si>
  <si>
    <t>R6.3</t>
  </si>
  <si>
    <t>令和６年中の</t>
    <rPh sb="0" eb="2">
      <t>レイワ</t>
    </rPh>
    <rPh sb="3" eb="4">
      <t>ネン</t>
    </rPh>
    <rPh sb="4" eb="5">
      <t>チュウ</t>
    </rPh>
    <phoneticPr fontId="2"/>
  </si>
  <si>
    <t>令和６年中の中山間地域等直接支払交付金に係る収支を下記のとおり報告します。</t>
    <rPh sb="0" eb="2">
      <t>レイワ</t>
    </rPh>
    <rPh sb="3" eb="5">
      <t>ネンチュウ</t>
    </rPh>
    <rPh sb="6" eb="19">
      <t>チュウサンカン</t>
    </rPh>
    <rPh sb="20" eb="21">
      <t>カカ</t>
    </rPh>
    <rPh sb="22" eb="24">
      <t>シュウシ</t>
    </rPh>
    <rPh sb="25" eb="27">
      <t>カキ</t>
    </rPh>
    <rPh sb="31" eb="33">
      <t>ホウコク</t>
    </rPh>
    <phoneticPr fontId="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</si>
</sst>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円&quot;"/>
    <numFmt numFmtId="177" formatCode="#,##0.0&quot;円&quot;"/>
    <numFmt numFmtId="178" formatCode="[$-411]ge\.m\.d;@"/>
  </numFmts>
  <fonts count="33">
    <font>
      <sz val="12"/>
      <color auto="1"/>
      <name val="ＭＳ 明朝"/>
      <family val="1"/>
    </font>
    <font>
      <sz val="11"/>
      <color auto="1"/>
      <name val="ＭＳ Ｐゴシック"/>
      <family val="3"/>
    </font>
    <font>
      <sz val="6"/>
      <color auto="1"/>
      <name val="ＭＳ Ｐゴシック"/>
      <family val="3"/>
    </font>
    <font>
      <sz val="12"/>
      <color auto="1"/>
      <name val="ＭＳ Ｐゴシック"/>
      <family val="3"/>
    </font>
    <font>
      <sz val="18"/>
      <color auto="1"/>
      <name val="ＭＳ Ｐゴシック"/>
      <family val="3"/>
    </font>
    <font>
      <sz val="14"/>
      <color auto="1"/>
      <name val="ＭＳ Ｐゴシック"/>
      <family val="3"/>
    </font>
    <font>
      <sz val="16"/>
      <color auto="1"/>
      <name val="ＭＳ Ｐゴシック"/>
      <family val="3"/>
    </font>
    <font>
      <b/>
      <sz val="12"/>
      <color auto="1"/>
      <name val="ＭＳ Ｐゴシック"/>
      <family val="3"/>
    </font>
    <font>
      <b/>
      <sz val="12"/>
      <color auto="1"/>
      <name val="ＭＳ 明朝"/>
      <family val="1"/>
    </font>
    <font>
      <sz val="6"/>
      <color auto="1"/>
      <name val="ＭＳ 明朝"/>
      <family val="1"/>
    </font>
    <font>
      <sz val="12"/>
      <color auto="1"/>
      <name val="ＭＳ 明朝"/>
      <family val="1"/>
    </font>
    <font>
      <sz val="18"/>
      <color auto="1"/>
      <name val="ＭＳ ゴシック"/>
      <family val="3"/>
    </font>
    <font>
      <sz val="13"/>
      <color auto="1"/>
      <name val="ＭＳ ゴシック"/>
      <family val="3"/>
    </font>
    <font>
      <sz val="12"/>
      <color auto="1"/>
      <name val="ＭＳ ゴシック"/>
      <family val="3"/>
    </font>
    <font>
      <sz val="13"/>
      <color auto="1"/>
      <name val="ＭＳ 明朝"/>
      <family val="1"/>
    </font>
    <font>
      <b/>
      <sz val="16"/>
      <color auto="1"/>
      <name val="ＭＳ ゴシック"/>
      <family val="3"/>
    </font>
    <font>
      <b/>
      <sz val="18"/>
      <color auto="1"/>
      <name val="ＭＳ ゴシック"/>
      <family val="3"/>
    </font>
    <font>
      <sz val="20"/>
      <color auto="1"/>
      <name val="ＭＳ ゴシック"/>
      <family val="3"/>
    </font>
    <font>
      <sz val="11"/>
      <color auto="1"/>
      <name val="ＭＳ 明朝"/>
      <family val="1"/>
    </font>
    <font>
      <sz val="11"/>
      <color auto="1"/>
      <name val="ＭＳ ゴシック"/>
      <family val="3"/>
    </font>
    <font>
      <b/>
      <sz val="12"/>
      <color auto="1"/>
      <name val="ＭＳ ゴシック"/>
      <family val="3"/>
    </font>
    <font>
      <sz val="14"/>
      <color auto="1"/>
      <name val="ＭＳ ゴシック"/>
      <family val="3"/>
    </font>
    <font>
      <b/>
      <sz val="20"/>
      <color indexed="10"/>
      <name val="ＭＳ ゴシック"/>
      <family val="3"/>
    </font>
    <font>
      <b/>
      <sz val="14"/>
      <color auto="1"/>
      <name val="ＭＳ ゴシック"/>
      <family val="3"/>
    </font>
    <font>
      <sz val="12"/>
      <color rgb="FFFF0000"/>
      <name val="ＭＳ ゴシック"/>
      <family val="3"/>
    </font>
    <font>
      <sz val="10"/>
      <color auto="1"/>
      <name val="ＭＳ ゴシック"/>
      <family val="3"/>
    </font>
    <font>
      <b/>
      <sz val="10"/>
      <color auto="1"/>
      <name val="ＭＳ ゴシック"/>
      <family val="3"/>
    </font>
    <font>
      <sz val="16"/>
      <color auto="1"/>
      <name val="ＭＳ ゴシック"/>
      <family val="3"/>
    </font>
    <font>
      <sz val="12"/>
      <color auto="1"/>
      <name val="ＭＳ Ｐ明朝"/>
      <family val="1"/>
    </font>
    <font>
      <sz val="10"/>
      <color auto="1"/>
      <name val="ＭＳ Ｐゴシック"/>
      <family val="3"/>
    </font>
    <font>
      <sz val="10"/>
      <color auto="1"/>
      <name val="ＭＳ 明朝"/>
      <family val="1"/>
    </font>
    <font>
      <sz val="8"/>
      <color auto="1"/>
      <name val="ＭＳ Ｐゴシック"/>
      <family val="3"/>
    </font>
    <font>
      <sz val="13"/>
      <color auto="1"/>
      <name val="ＭＳ 明朝"/>
      <family val="1"/>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99FFCC"/>
        <bgColor indexed="64"/>
      </patternFill>
    </fill>
    <fill>
      <patternFill patternType="solid">
        <fgColor indexed="42"/>
        <bgColor indexed="64"/>
      </patternFill>
    </fill>
    <fill>
      <patternFill patternType="solid">
        <fgColor rgb="FFCCFFCC"/>
        <bgColor indexed="64"/>
      </patternFill>
    </fill>
  </fills>
  <borders count="184">
    <border>
      <left/>
      <right/>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right/>
      <top style="hair">
        <color indexed="64"/>
      </top>
      <bottom/>
      <diagonal/>
    </border>
    <border>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style="double">
        <color indexed="64"/>
      </left>
      <right/>
      <top style="hair">
        <color indexed="64"/>
      </top>
      <bottom style="hair">
        <color indexed="64"/>
      </bottom>
      <diagonal/>
    </border>
    <border>
      <left style="double">
        <color indexed="64"/>
      </left>
      <right/>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medium">
        <color indexed="64"/>
      </top>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right/>
      <top/>
      <bottom style="dotted">
        <color indexed="64"/>
      </bottom>
      <diagonal/>
    </border>
  </borders>
  <cellStyleXfs count="4">
    <xf numFmtId="0" fontId="0" fillId="0" borderId="0">
      <alignment vertical="center"/>
    </xf>
    <xf numFmtId="0" fontId="1" fillId="0" borderId="0"/>
    <xf numFmtId="0" fontId="1" fillId="0" borderId="0">
      <alignment vertical="center"/>
    </xf>
    <xf numFmtId="38" fontId="10" fillId="0" borderId="0" applyFont="0" applyFill="0" applyBorder="0" applyAlignment="0" applyProtection="0">
      <alignment vertical="center"/>
    </xf>
  </cellStyleXfs>
  <cellXfs count="785">
    <xf numFmtId="0" fontId="0" fillId="0" borderId="0" xfId="0">
      <alignment vertical="center"/>
    </xf>
    <xf numFmtId="0" fontId="1" fillId="0" borderId="0" xfId="1" applyAlignment="1">
      <alignment vertical="center"/>
    </xf>
    <xf numFmtId="0" fontId="3" fillId="0" borderId="0" xfId="1" applyFont="1" applyAlignment="1">
      <alignment vertical="center"/>
    </xf>
    <xf numFmtId="0" fontId="4" fillId="0" borderId="0" xfId="1" applyFont="1" applyAlignment="1">
      <alignment horizontal="left" vertical="center"/>
    </xf>
    <xf numFmtId="58" fontId="3" fillId="0" borderId="0" xfId="1" applyNumberFormat="1" applyFont="1" applyAlignment="1">
      <alignment horizontal="right" vertical="center"/>
    </xf>
    <xf numFmtId="0" fontId="5" fillId="0" borderId="0" xfId="1" applyFont="1" applyAlignment="1">
      <alignment horizontal="center" vertical="center"/>
    </xf>
    <xf numFmtId="0" fontId="6" fillId="0" borderId="1" xfId="1" applyFont="1" applyBorder="1" applyAlignment="1">
      <alignment horizontal="center" vertical="center"/>
    </xf>
    <xf numFmtId="0" fontId="5" fillId="0" borderId="0" xfId="1" applyFont="1" applyAlignment="1">
      <alignment vertical="center" wrapText="1"/>
    </xf>
    <xf numFmtId="0" fontId="5" fillId="0" borderId="0" xfId="1" applyFont="1" applyAlignment="1">
      <alignment horizontal="right" vertical="center"/>
    </xf>
    <xf numFmtId="0" fontId="0" fillId="0" borderId="0" xfId="0" applyFont="1" applyAlignment="1">
      <alignment horizontal="right" vertical="center"/>
    </xf>
    <xf numFmtId="0" fontId="3" fillId="0" borderId="2" xfId="1" applyFont="1" applyBorder="1" applyAlignment="1">
      <alignment horizontal="center" vertical="center"/>
    </xf>
    <xf numFmtId="0" fontId="3" fillId="0" borderId="3" xfId="1" applyFont="1" applyBorder="1" applyAlignment="1">
      <alignment horizontal="left" vertical="center" indent="1"/>
    </xf>
    <xf numFmtId="0" fontId="3" fillId="0" borderId="4" xfId="1" applyFont="1" applyBorder="1" applyAlignment="1">
      <alignment horizontal="left" vertical="center" indent="1"/>
    </xf>
    <xf numFmtId="0" fontId="3" fillId="0" borderId="3" xfId="1" applyFont="1" applyBorder="1" applyAlignment="1">
      <alignment horizontal="center" vertical="center"/>
    </xf>
    <xf numFmtId="0" fontId="3" fillId="0" borderId="0" xfId="1" applyFont="1" applyBorder="1" applyAlignment="1">
      <alignment horizontal="left" vertical="center"/>
    </xf>
    <xf numFmtId="0" fontId="3" fillId="0" borderId="4" xfId="1" applyFont="1" applyBorder="1" applyAlignment="1">
      <alignment horizontal="left" vertical="center" wrapText="1" indent="1"/>
    </xf>
    <xf numFmtId="0" fontId="0" fillId="0" borderId="5" xfId="0" applyFont="1" applyBorder="1" applyAlignment="1">
      <alignment horizontal="left" vertical="center" wrapText="1" indent="1"/>
    </xf>
    <xf numFmtId="0" fontId="0" fillId="0" borderId="6" xfId="0" applyFont="1" applyBorder="1" applyAlignment="1">
      <alignment horizontal="left" vertical="center" wrapText="1" indent="1"/>
    </xf>
    <xf numFmtId="0" fontId="3" fillId="0" borderId="7" xfId="1" applyFont="1" applyBorder="1" applyAlignment="1">
      <alignment horizontal="left" vertical="center" wrapText="1" indent="1"/>
    </xf>
    <xf numFmtId="0" fontId="3" fillId="0" borderId="5" xfId="1" applyFont="1" applyBorder="1" applyAlignment="1">
      <alignment horizontal="left" vertical="center" wrapText="1" inden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8" xfId="0" applyFont="1" applyBorder="1" applyAlignment="1">
      <alignment horizontal="left" vertical="center" wrapText="1" inden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Border="1" applyAlignment="1">
      <alignment horizontal="center" vertical="center"/>
    </xf>
    <xf numFmtId="0" fontId="1" fillId="0" borderId="0" xfId="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3" fillId="0" borderId="5" xfId="1" applyFont="1" applyBorder="1" applyAlignment="1">
      <alignment horizontal="left" vertical="center" indent="1"/>
    </xf>
    <xf numFmtId="0" fontId="3" fillId="0" borderId="9" xfId="1" applyFont="1" applyBorder="1" applyAlignment="1">
      <alignment horizontal="left" vertical="center" indent="1"/>
    </xf>
    <xf numFmtId="0" fontId="3" fillId="0" borderId="8" xfId="1" applyFont="1" applyBorder="1" applyAlignment="1">
      <alignment horizontal="left" vertical="center" indent="1"/>
    </xf>
    <xf numFmtId="0" fontId="3" fillId="0" borderId="10" xfId="1" applyFont="1" applyBorder="1" applyAlignment="1">
      <alignment horizontal="left" vertical="center" indent="1"/>
    </xf>
    <xf numFmtId="0" fontId="3" fillId="0" borderId="11" xfId="1" applyFont="1" applyBorder="1" applyAlignment="1">
      <alignment horizontal="left" vertical="center" indent="1"/>
    </xf>
    <xf numFmtId="0" fontId="3" fillId="0" borderId="12" xfId="1" applyFont="1" applyBorder="1" applyAlignment="1">
      <alignment horizontal="left" vertical="center" indent="1"/>
    </xf>
    <xf numFmtId="0" fontId="3" fillId="0" borderId="11" xfId="1" applyFont="1" applyBorder="1" applyAlignment="1">
      <alignment horizontal="center" vertical="center"/>
    </xf>
    <xf numFmtId="0" fontId="0" fillId="0" borderId="12"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13" xfId="0" applyFont="1" applyBorder="1" applyAlignment="1">
      <alignment horizontal="left" vertical="center" wrapText="1" indent="1"/>
    </xf>
    <xf numFmtId="0" fontId="0" fillId="0" borderId="14" xfId="0" applyFont="1" applyBorder="1" applyAlignment="1">
      <alignment horizontal="left" vertical="center" wrapText="1" indent="1"/>
    </xf>
    <xf numFmtId="0" fontId="0" fillId="0" borderId="0" xfId="0" applyFont="1" applyAlignment="1">
      <alignment horizontal="left" vertical="center" wrapText="1" indent="1"/>
    </xf>
    <xf numFmtId="0" fontId="0" fillId="0" borderId="14" xfId="0" applyFont="1" applyBorder="1" applyAlignment="1">
      <alignment horizontal="left" vertical="center" wrapText="1"/>
    </xf>
    <xf numFmtId="0" fontId="0" fillId="0" borderId="0" xfId="0" applyFont="1" applyBorder="1" applyAlignment="1">
      <alignment horizontal="left" vertical="center" wrapText="1"/>
    </xf>
    <xf numFmtId="0" fontId="0" fillId="0" borderId="13" xfId="0" applyFont="1" applyBorder="1" applyAlignment="1">
      <alignment horizontal="left" vertical="center" wrapText="1"/>
    </xf>
    <xf numFmtId="0" fontId="0" fillId="0" borderId="15" xfId="0" applyFont="1" applyBorder="1" applyAlignment="1">
      <alignment horizontal="left" vertical="center" wrapText="1" indent="1"/>
    </xf>
    <xf numFmtId="0" fontId="3" fillId="0" borderId="12" xfId="1" applyFont="1" applyBorder="1" applyAlignment="1">
      <alignment horizontal="center" vertical="center"/>
    </xf>
    <xf numFmtId="0" fontId="3" fillId="0" borderId="15" xfId="1" applyFont="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center" vertical="center"/>
    </xf>
    <xf numFmtId="0" fontId="0" fillId="0" borderId="15" xfId="0" applyFont="1" applyBorder="1" applyAlignment="1">
      <alignment horizontal="center" vertical="center"/>
    </xf>
    <xf numFmtId="0" fontId="3" fillId="0" borderId="0" xfId="1" applyFont="1" applyBorder="1" applyAlignment="1">
      <alignment horizontal="left" vertical="center" indent="1"/>
    </xf>
    <xf numFmtId="0" fontId="3" fillId="0" borderId="16" xfId="1" applyFont="1" applyBorder="1" applyAlignment="1">
      <alignment horizontal="left" vertical="center" indent="1"/>
    </xf>
    <xf numFmtId="0" fontId="3" fillId="0" borderId="15" xfId="1" applyFont="1" applyBorder="1" applyAlignment="1">
      <alignment horizontal="left" vertical="center" indent="1"/>
    </xf>
    <xf numFmtId="0" fontId="3" fillId="0" borderId="17" xfId="1" applyFont="1" applyBorder="1" applyAlignment="1">
      <alignment horizontal="left" vertical="center" indent="1"/>
    </xf>
    <xf numFmtId="0" fontId="5" fillId="0" borderId="0" xfId="1" applyFont="1" applyAlignment="1">
      <alignmen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3" fillId="0" borderId="19" xfId="1" applyFont="1" applyBorder="1" applyAlignment="1">
      <alignment horizontal="left" vertical="center" indent="1"/>
    </xf>
    <xf numFmtId="0" fontId="3" fillId="0" borderId="21" xfId="1" applyFont="1" applyBorder="1" applyAlignment="1">
      <alignment horizontal="left" vertical="center" indent="1"/>
    </xf>
    <xf numFmtId="0" fontId="3" fillId="0" borderId="20" xfId="1" applyFont="1" applyBorder="1" applyAlignment="1">
      <alignment horizontal="left" vertical="center" indent="1"/>
    </xf>
    <xf numFmtId="0" fontId="3" fillId="0" borderId="22" xfId="1" applyFont="1" applyBorder="1" applyAlignment="1">
      <alignment horizontal="left" vertical="center" indent="1"/>
    </xf>
    <xf numFmtId="0" fontId="3" fillId="0" borderId="23" xfId="1" applyFont="1" applyBorder="1" applyAlignment="1">
      <alignment horizontal="center" vertical="center"/>
    </xf>
    <xf numFmtId="176" fontId="5" fillId="0" borderId="24" xfId="1" applyNumberFormat="1" applyFont="1" applyBorder="1" applyAlignment="1">
      <alignment horizontal="right" vertical="center"/>
    </xf>
    <xf numFmtId="176" fontId="5" fillId="0" borderId="25" xfId="1" applyNumberFormat="1" applyFont="1" applyBorder="1" applyAlignment="1">
      <alignment horizontal="right" vertical="center"/>
    </xf>
    <xf numFmtId="176" fontId="5" fillId="0" borderId="26" xfId="1" applyNumberFormat="1" applyFont="1" applyBorder="1" applyAlignment="1">
      <alignment horizontal="right" vertical="center"/>
    </xf>
    <xf numFmtId="176" fontId="3" fillId="0" borderId="25" xfId="1" applyNumberFormat="1" applyFont="1" applyBorder="1" applyAlignment="1">
      <alignment horizontal="right" vertical="center"/>
    </xf>
    <xf numFmtId="176" fontId="3" fillId="0" borderId="27" xfId="1" applyNumberFormat="1" applyFont="1" applyBorder="1" applyAlignment="1">
      <alignment horizontal="right" vertical="center"/>
    </xf>
    <xf numFmtId="176" fontId="3" fillId="0" borderId="24" xfId="1" applyNumberFormat="1" applyFont="1" applyBorder="1" applyAlignment="1">
      <alignment horizontal="right" vertical="center"/>
    </xf>
    <xf numFmtId="176" fontId="3" fillId="0" borderId="26" xfId="1" applyNumberFormat="1" applyFont="1" applyBorder="1" applyAlignment="1">
      <alignment horizontal="right" vertical="center"/>
    </xf>
    <xf numFmtId="176" fontId="3" fillId="0" borderId="28" xfId="1" applyNumberFormat="1" applyFont="1" applyBorder="1" applyAlignment="1">
      <alignment horizontal="right" vertical="center"/>
    </xf>
    <xf numFmtId="0" fontId="3" fillId="0" borderId="23" xfId="1" applyFont="1" applyBorder="1" applyAlignment="1">
      <alignment horizontal="left" vertical="center" indent="1"/>
    </xf>
    <xf numFmtId="0" fontId="3" fillId="0" borderId="29" xfId="1" applyFont="1" applyBorder="1" applyAlignment="1">
      <alignment horizontal="left" vertical="center" indent="1"/>
    </xf>
    <xf numFmtId="176" fontId="5" fillId="0" borderId="0" xfId="1" applyNumberFormat="1" applyFont="1" applyBorder="1" applyAlignment="1">
      <alignment horizontal="right" vertical="center"/>
    </xf>
    <xf numFmtId="176" fontId="5" fillId="0" borderId="16" xfId="1" applyNumberFormat="1" applyFont="1" applyBorder="1" applyAlignment="1">
      <alignment horizontal="right" vertical="center"/>
    </xf>
    <xf numFmtId="176" fontId="5" fillId="0" borderId="15"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3" fillId="0" borderId="15" xfId="1" applyNumberFormat="1" applyFont="1" applyBorder="1" applyAlignment="1">
      <alignment horizontal="right" vertical="center"/>
    </xf>
    <xf numFmtId="176" fontId="3" fillId="0" borderId="11" xfId="1" applyNumberFormat="1" applyFont="1" applyBorder="1" applyAlignment="1">
      <alignment horizontal="right" vertical="center"/>
    </xf>
    <xf numFmtId="176" fontId="3" fillId="0" borderId="3" xfId="1" applyNumberFormat="1" applyFont="1" applyBorder="1" applyAlignment="1">
      <alignment horizontal="right" vertical="center"/>
    </xf>
    <xf numFmtId="176" fontId="3" fillId="0" borderId="4" xfId="1" applyNumberFormat="1" applyFont="1" applyFill="1" applyBorder="1" applyAlignment="1">
      <alignment horizontal="right" vertical="center"/>
    </xf>
    <xf numFmtId="176" fontId="3" fillId="0" borderId="2" xfId="1" applyNumberFormat="1" applyFont="1" applyBorder="1" applyAlignment="1">
      <alignment horizontal="right" vertical="center"/>
    </xf>
    <xf numFmtId="0" fontId="3" fillId="0" borderId="0" xfId="1" applyFont="1" applyBorder="1" applyAlignment="1">
      <alignment horizontal="right" vertical="center"/>
    </xf>
    <xf numFmtId="0" fontId="0" fillId="0" borderId="29" xfId="0" applyFont="1" applyBorder="1" applyAlignment="1">
      <alignment horizontal="left" vertical="center" wrapText="1" indent="1"/>
    </xf>
    <xf numFmtId="0" fontId="0" fillId="0" borderId="30" xfId="0" applyFont="1" applyBorder="1" applyAlignment="1">
      <alignment horizontal="left" vertical="center" wrapText="1" indent="1"/>
    </xf>
    <xf numFmtId="0" fontId="0" fillId="0" borderId="31" xfId="0" applyFont="1" applyBorder="1" applyAlignment="1">
      <alignment horizontal="left" vertical="center" wrapText="1" indent="1"/>
    </xf>
    <xf numFmtId="0" fontId="0" fillId="0" borderId="32" xfId="0" applyFont="1" applyBorder="1" applyAlignment="1">
      <alignment horizontal="left" vertical="center" wrapText="1" indent="1"/>
    </xf>
    <xf numFmtId="0" fontId="0" fillId="0" borderId="32" xfId="0" applyFont="1" applyBorder="1" applyAlignment="1">
      <alignment horizontal="left" vertical="center" wrapText="1"/>
    </xf>
    <xf numFmtId="0" fontId="0" fillId="0" borderId="30" xfId="0" applyFont="1" applyBorder="1" applyAlignment="1">
      <alignment horizontal="left" vertical="center" wrapText="1"/>
    </xf>
    <xf numFmtId="0" fontId="0" fillId="0" borderId="31" xfId="0" applyFont="1" applyBorder="1" applyAlignment="1">
      <alignment horizontal="left" vertical="center" wrapText="1"/>
    </xf>
    <xf numFmtId="0" fontId="0" fillId="0" borderId="33" xfId="0" applyFont="1" applyBorder="1" applyAlignment="1">
      <alignment horizontal="left" vertical="center" wrapText="1" indent="1"/>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0" borderId="33" xfId="1" applyFont="1" applyBorder="1" applyAlignment="1">
      <alignment horizontal="center" vertical="center"/>
    </xf>
    <xf numFmtId="0" fontId="0" fillId="0" borderId="11" xfId="0" applyFont="1" applyBorder="1" applyAlignment="1">
      <alignment horizontal="right" vertical="center"/>
    </xf>
    <xf numFmtId="0" fontId="0" fillId="0" borderId="12" xfId="0" applyFont="1" applyFill="1" applyBorder="1" applyAlignment="1">
      <alignment horizontal="right" vertical="center"/>
    </xf>
    <xf numFmtId="0" fontId="3" fillId="0" borderId="2" xfId="1" applyFont="1" applyBorder="1" applyAlignment="1">
      <alignment horizontal="right" vertical="center"/>
    </xf>
    <xf numFmtId="0" fontId="0" fillId="0" borderId="5" xfId="0" applyFont="1" applyBorder="1" applyAlignment="1">
      <alignment horizontal="right" vertical="center"/>
    </xf>
    <xf numFmtId="0" fontId="0" fillId="0" borderId="6" xfId="0" applyFont="1" applyBorder="1" applyAlignment="1">
      <alignment horizontal="right" vertical="center"/>
    </xf>
    <xf numFmtId="176" fontId="3" fillId="0" borderId="7" xfId="1" applyNumberFormat="1" applyFont="1" applyBorder="1" applyAlignment="1">
      <alignment horizontal="right" vertical="center"/>
    </xf>
    <xf numFmtId="176" fontId="3" fillId="0" borderId="5" xfId="1" applyNumberFormat="1" applyFont="1" applyBorder="1" applyAlignment="1">
      <alignment horizontal="right" vertical="center"/>
    </xf>
    <xf numFmtId="176" fontId="3" fillId="0" borderId="8" xfId="1" applyNumberFormat="1" applyFont="1" applyBorder="1" applyAlignment="1">
      <alignment horizontal="center" vertical="center"/>
    </xf>
    <xf numFmtId="0" fontId="3" fillId="0" borderId="8" xfId="1" applyFont="1" applyBorder="1" applyAlignment="1">
      <alignment horizontal="right" vertical="center"/>
    </xf>
    <xf numFmtId="176" fontId="3" fillId="0" borderId="4" xfId="1" applyNumberFormat="1" applyFont="1" applyBorder="1" applyAlignment="1">
      <alignment horizontal="center" vertical="center" wrapText="1"/>
    </xf>
    <xf numFmtId="0" fontId="1" fillId="0" borderId="0" xfId="1" applyBorder="1" applyAlignment="1">
      <alignment horizontal="right" vertical="center"/>
    </xf>
    <xf numFmtId="176" fontId="5" fillId="0" borderId="19" xfId="1" applyNumberFormat="1" applyFont="1" applyBorder="1" applyAlignment="1">
      <alignment horizontal="right" vertical="center"/>
    </xf>
    <xf numFmtId="176" fontId="5" fillId="0" borderId="21" xfId="1" applyNumberFormat="1" applyFont="1" applyBorder="1" applyAlignment="1">
      <alignment horizontal="right" vertical="center"/>
    </xf>
    <xf numFmtId="176" fontId="5" fillId="0" borderId="20" xfId="1" applyNumberFormat="1" applyFont="1" applyBorder="1" applyAlignment="1">
      <alignment horizontal="right" vertical="center"/>
    </xf>
    <xf numFmtId="176" fontId="3" fillId="0" borderId="21" xfId="1" applyNumberFormat="1" applyFont="1" applyBorder="1" applyAlignment="1">
      <alignment horizontal="right" vertical="center"/>
    </xf>
    <xf numFmtId="176" fontId="3" fillId="0" borderId="22" xfId="1" applyNumberFormat="1" applyFont="1" applyBorder="1" applyAlignment="1">
      <alignment horizontal="right" vertical="center"/>
    </xf>
    <xf numFmtId="176" fontId="3" fillId="0" borderId="19" xfId="1" applyNumberFormat="1" applyFont="1" applyBorder="1" applyAlignment="1">
      <alignment horizontal="right" vertical="center"/>
    </xf>
    <xf numFmtId="176" fontId="3" fillId="0" borderId="20" xfId="1" applyNumberFormat="1" applyFont="1" applyBorder="1" applyAlignment="1">
      <alignment horizontal="right" vertical="center"/>
    </xf>
    <xf numFmtId="176" fontId="3" fillId="0" borderId="34" xfId="1" applyNumberFormat="1" applyFont="1" applyBorder="1" applyAlignment="1">
      <alignment horizontal="right" vertical="center"/>
    </xf>
    <xf numFmtId="176" fontId="3" fillId="0" borderId="12" xfId="1" applyNumberFormat="1" applyFont="1" applyBorder="1" applyAlignment="1">
      <alignment horizontal="right" vertical="center"/>
    </xf>
    <xf numFmtId="0" fontId="0" fillId="0" borderId="0" xfId="0" applyFont="1" applyBorder="1" applyAlignment="1">
      <alignment horizontal="right" vertical="center"/>
    </xf>
    <xf numFmtId="0" fontId="0" fillId="0" borderId="13" xfId="0" applyFont="1" applyBorder="1" applyAlignment="1">
      <alignment horizontal="right" vertical="center"/>
    </xf>
    <xf numFmtId="176" fontId="3" fillId="0" borderId="14" xfId="1" applyNumberFormat="1" applyFont="1" applyBorder="1" applyAlignment="1">
      <alignment horizontal="right" vertical="center"/>
    </xf>
    <xf numFmtId="176" fontId="3" fillId="0" borderId="15" xfId="1" applyNumberFormat="1" applyFont="1" applyBorder="1" applyAlignment="1">
      <alignment horizontal="center" vertical="center"/>
    </xf>
    <xf numFmtId="0" fontId="3" fillId="0" borderId="12" xfId="1" applyFont="1" applyBorder="1" applyAlignment="1">
      <alignment horizontal="right" vertical="center"/>
    </xf>
    <xf numFmtId="0" fontId="3" fillId="0" borderId="15" xfId="1" applyFont="1" applyBorder="1" applyAlignment="1">
      <alignment horizontal="right" vertical="center"/>
    </xf>
    <xf numFmtId="0" fontId="3" fillId="0" borderId="35" xfId="1" applyFont="1" applyBorder="1" applyAlignment="1">
      <alignment horizontal="center" vertical="center"/>
    </xf>
    <xf numFmtId="0" fontId="3" fillId="0" borderId="15" xfId="1" applyFont="1" applyBorder="1" applyAlignment="1">
      <alignment horizontal="distributed" vertical="center"/>
    </xf>
    <xf numFmtId="0" fontId="3" fillId="0" borderId="11" xfId="1" applyFont="1" applyBorder="1" applyAlignment="1">
      <alignment horizontal="distributed" vertical="center"/>
    </xf>
    <xf numFmtId="176" fontId="5" fillId="0" borderId="30" xfId="1" applyNumberFormat="1" applyFont="1" applyBorder="1" applyAlignment="1">
      <alignment horizontal="right" vertical="center"/>
    </xf>
    <xf numFmtId="176" fontId="5" fillId="0" borderId="36" xfId="1" applyNumberFormat="1" applyFont="1" applyBorder="1" applyAlignment="1">
      <alignment horizontal="right" vertical="center"/>
    </xf>
    <xf numFmtId="176" fontId="5" fillId="0" borderId="33"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3" fillId="0" borderId="37" xfId="1" applyNumberFormat="1" applyFont="1" applyBorder="1" applyAlignment="1">
      <alignment horizontal="right" vertical="center"/>
    </xf>
    <xf numFmtId="176" fontId="3" fillId="0" borderId="30" xfId="1" applyNumberFormat="1" applyFont="1" applyBorder="1" applyAlignment="1">
      <alignment horizontal="right" vertical="center"/>
    </xf>
    <xf numFmtId="176" fontId="3" fillId="0" borderId="33" xfId="1" applyNumberFormat="1" applyFont="1" applyBorder="1" applyAlignment="1">
      <alignment horizontal="right" vertical="center"/>
    </xf>
    <xf numFmtId="176" fontId="3" fillId="0" borderId="23" xfId="1" applyNumberFormat="1" applyFont="1" applyBorder="1" applyAlignment="1">
      <alignment horizontal="right" vertical="center"/>
    </xf>
    <xf numFmtId="176" fontId="5" fillId="0" borderId="5" xfId="1" applyNumberFormat="1" applyFont="1" applyBorder="1" applyAlignment="1">
      <alignment horizontal="right" vertical="center"/>
    </xf>
    <xf numFmtId="176" fontId="5" fillId="0" borderId="9" xfId="1" applyNumberFormat="1" applyFont="1" applyBorder="1" applyAlignment="1">
      <alignment horizontal="right" vertical="center"/>
    </xf>
    <xf numFmtId="176" fontId="5" fillId="0" borderId="8" xfId="1" applyNumberFormat="1" applyFont="1" applyBorder="1" applyAlignment="1">
      <alignment horizontal="right" vertical="center"/>
    </xf>
    <xf numFmtId="176" fontId="3" fillId="0" borderId="9" xfId="1" applyNumberFormat="1" applyFont="1" applyBorder="1" applyAlignment="1">
      <alignment horizontal="right" vertical="center"/>
    </xf>
    <xf numFmtId="176" fontId="3" fillId="0" borderId="10" xfId="1" applyNumberFormat="1" applyFont="1" applyBorder="1" applyAlignment="1">
      <alignment horizontal="right" vertical="center"/>
    </xf>
    <xf numFmtId="176" fontId="3" fillId="0" borderId="8" xfId="1" applyNumberFormat="1" applyFont="1" applyBorder="1" applyAlignment="1">
      <alignment horizontal="right" vertical="center"/>
    </xf>
    <xf numFmtId="0" fontId="0" fillId="0" borderId="23" xfId="0" applyFont="1" applyBorder="1" applyAlignment="1">
      <alignment horizontal="right" vertical="center"/>
    </xf>
    <xf numFmtId="0" fontId="0" fillId="0" borderId="29" xfId="0" applyFont="1" applyFill="1" applyBorder="1" applyAlignment="1">
      <alignment horizontal="right" vertical="center"/>
    </xf>
    <xf numFmtId="176" fontId="3" fillId="0" borderId="29" xfId="1" applyNumberFormat="1" applyFont="1" applyBorder="1" applyAlignment="1">
      <alignment horizontal="right" vertical="center"/>
    </xf>
    <xf numFmtId="0" fontId="0" fillId="0" borderId="30" xfId="0" applyFont="1" applyBorder="1" applyAlignment="1">
      <alignment horizontal="right" vertical="center"/>
    </xf>
    <xf numFmtId="0" fontId="0" fillId="0" borderId="31" xfId="0" applyFont="1" applyBorder="1" applyAlignment="1">
      <alignment horizontal="right" vertical="center"/>
    </xf>
    <xf numFmtId="176" fontId="3" fillId="0" borderId="32" xfId="1" applyNumberFormat="1" applyFont="1" applyBorder="1" applyAlignment="1">
      <alignment horizontal="right" vertical="center"/>
    </xf>
    <xf numFmtId="176" fontId="3" fillId="0" borderId="33" xfId="1" applyNumberFormat="1" applyFont="1" applyBorder="1" applyAlignment="1">
      <alignment horizontal="center" vertical="center"/>
    </xf>
    <xf numFmtId="0" fontId="3" fillId="0" borderId="29" xfId="1" applyFont="1" applyBorder="1" applyAlignment="1">
      <alignment horizontal="right" vertical="center"/>
    </xf>
    <xf numFmtId="0" fontId="3" fillId="0" borderId="33" xfId="1" applyFont="1" applyBorder="1" applyAlignment="1">
      <alignment horizontal="righ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vertical="center" shrinkToFit="1"/>
    </xf>
    <xf numFmtId="0" fontId="3" fillId="0" borderId="8" xfId="1" applyFont="1" applyBorder="1" applyAlignment="1">
      <alignment vertical="center" shrinkToFit="1"/>
    </xf>
    <xf numFmtId="177" fontId="3" fillId="0" borderId="8" xfId="1" applyNumberFormat="1" applyFont="1" applyBorder="1" applyAlignment="1">
      <alignment horizontal="left" vertical="center" shrinkToFit="1"/>
    </xf>
    <xf numFmtId="176" fontId="3" fillId="0" borderId="8" xfId="1" applyNumberFormat="1" applyFont="1" applyBorder="1" applyAlignment="1">
      <alignment horizontal="left" vertical="center" shrinkToFit="1"/>
    </xf>
    <xf numFmtId="0" fontId="1" fillId="0" borderId="0" xfId="1" applyBorder="1" applyAlignment="1">
      <alignment vertical="center" shrinkToFit="1"/>
    </xf>
    <xf numFmtId="0" fontId="3" fillId="0" borderId="38" xfId="1" applyFont="1" applyBorder="1" applyAlignment="1">
      <alignment horizontal="center" vertical="center"/>
    </xf>
    <xf numFmtId="0" fontId="3" fillId="0" borderId="15" xfId="1" applyFont="1" applyBorder="1" applyAlignment="1">
      <alignment horizontal="distributed" vertical="center" justifyLastLine="1"/>
    </xf>
    <xf numFmtId="0" fontId="3" fillId="0" borderId="11" xfId="1" applyFont="1" applyBorder="1" applyAlignment="1">
      <alignment horizontal="distributed" vertical="center" justifyLastLine="1"/>
    </xf>
    <xf numFmtId="0" fontId="0" fillId="0" borderId="11" xfId="0"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5" xfId="1" applyFont="1" applyBorder="1" applyAlignment="1">
      <alignment horizontal="left" vertical="center"/>
    </xf>
    <xf numFmtId="0" fontId="3" fillId="0" borderId="12" xfId="1" applyFont="1" applyBorder="1" applyAlignment="1">
      <alignment vertical="center" shrinkToFit="1"/>
    </xf>
    <xf numFmtId="0" fontId="0" fillId="0" borderId="15" xfId="0" applyBorder="1" applyAlignment="1">
      <alignment vertical="center" shrinkToFit="1"/>
    </xf>
    <xf numFmtId="0" fontId="0" fillId="0" borderId="12" xfId="0" applyBorder="1" applyAlignment="1">
      <alignment vertical="center" shrinkToFit="1"/>
    </xf>
    <xf numFmtId="0" fontId="0" fillId="0" borderId="15" xfId="0" applyBorder="1" applyAlignment="1">
      <alignment horizontal="left" vertical="center" shrinkToFit="1"/>
    </xf>
    <xf numFmtId="0" fontId="1" fillId="0" borderId="0" xfId="1" applyAlignment="1">
      <alignment vertical="center" shrinkToFit="1"/>
    </xf>
    <xf numFmtId="0" fontId="3" fillId="0" borderId="0" xfId="1" applyFont="1" applyAlignment="1">
      <alignment horizontal="left" vertical="center"/>
    </xf>
    <xf numFmtId="0" fontId="7" fillId="0" borderId="12" xfId="1" applyFont="1" applyBorder="1" applyAlignment="1">
      <alignment vertical="center" shrinkToFit="1"/>
    </xf>
    <xf numFmtId="176" fontId="7" fillId="0" borderId="15" xfId="1" applyNumberFormat="1" applyFont="1" applyFill="1" applyBorder="1" applyAlignment="1">
      <alignment vertical="center" shrinkToFit="1"/>
    </xf>
    <xf numFmtId="177" fontId="3" fillId="0" borderId="15" xfId="1" applyNumberFormat="1" applyFont="1" applyFill="1" applyBorder="1" applyAlignment="1">
      <alignment horizontal="left" vertical="center" shrinkToFit="1"/>
    </xf>
    <xf numFmtId="176" fontId="3" fillId="0" borderId="12" xfId="1" applyNumberFormat="1" applyFont="1" applyFill="1" applyBorder="1" applyAlignment="1">
      <alignment vertical="center" shrinkToFit="1"/>
    </xf>
    <xf numFmtId="176" fontId="3" fillId="0" borderId="15" xfId="1" applyNumberFormat="1" applyFont="1" applyFill="1" applyBorder="1" applyAlignment="1">
      <alignment vertical="center" shrinkToFit="1"/>
    </xf>
    <xf numFmtId="0" fontId="8" fillId="0" borderId="12" xfId="0" applyFont="1" applyBorder="1" applyAlignment="1">
      <alignment vertical="center" shrinkToFit="1"/>
    </xf>
    <xf numFmtId="176" fontId="8" fillId="0" borderId="15" xfId="0" applyNumberFormat="1" applyFont="1" applyFill="1" applyBorder="1" applyAlignment="1">
      <alignment vertical="center" shrinkToFit="1"/>
    </xf>
    <xf numFmtId="176" fontId="0" fillId="0" borderId="12" xfId="0" applyNumberFormat="1" applyFill="1" applyBorder="1" applyAlignment="1">
      <alignment vertical="center" shrinkToFit="1"/>
    </xf>
    <xf numFmtId="176" fontId="0" fillId="0" borderId="15" xfId="0" applyNumberFormat="1" applyFill="1" applyBorder="1" applyAlignment="1">
      <alignment vertical="center" shrinkToFit="1"/>
    </xf>
    <xf numFmtId="0" fontId="0" fillId="0" borderId="23" xfId="0" applyFont="1" applyBorder="1" applyAlignment="1">
      <alignment horizontal="left" vertical="center"/>
    </xf>
    <xf numFmtId="0" fontId="3" fillId="0" borderId="29" xfId="1" applyFont="1" applyBorder="1" applyAlignment="1">
      <alignment horizontal="left" vertical="center"/>
    </xf>
    <xf numFmtId="0" fontId="3" fillId="0" borderId="30" xfId="1" applyFont="1" applyBorder="1" applyAlignment="1">
      <alignment horizontal="left" vertical="center"/>
    </xf>
    <xf numFmtId="0" fontId="3" fillId="0" borderId="31" xfId="1" applyFont="1" applyBorder="1" applyAlignment="1">
      <alignment horizontal="left" vertical="center"/>
    </xf>
    <xf numFmtId="0" fontId="3" fillId="0" borderId="32" xfId="1" applyFont="1" applyBorder="1" applyAlignment="1">
      <alignment horizontal="left" vertical="center"/>
    </xf>
    <xf numFmtId="0" fontId="3" fillId="0" borderId="33" xfId="1" applyFont="1" applyBorder="1" applyAlignment="1">
      <alignment horizontal="left" vertical="center"/>
    </xf>
    <xf numFmtId="0" fontId="8" fillId="0" borderId="29" xfId="0" applyFont="1" applyBorder="1" applyAlignment="1">
      <alignment vertical="center" shrinkToFit="1"/>
    </xf>
    <xf numFmtId="176" fontId="8" fillId="0" borderId="33" xfId="0" applyNumberFormat="1" applyFont="1" applyFill="1" applyBorder="1" applyAlignment="1">
      <alignment vertical="center" shrinkToFit="1"/>
    </xf>
    <xf numFmtId="0" fontId="0" fillId="0" borderId="33" xfId="0" applyFill="1" applyBorder="1" applyAlignment="1">
      <alignment horizontal="left" vertical="center" shrinkToFit="1"/>
    </xf>
    <xf numFmtId="176" fontId="0" fillId="0" borderId="29" xfId="0" applyNumberFormat="1" applyFill="1" applyBorder="1" applyAlignment="1">
      <alignment vertical="center" shrinkToFit="1"/>
    </xf>
    <xf numFmtId="176" fontId="0" fillId="0" borderId="33" xfId="0" applyNumberFormat="1" applyFill="1" applyBorder="1" applyAlignment="1">
      <alignment vertical="center" shrinkToFit="1"/>
    </xf>
    <xf numFmtId="0" fontId="1" fillId="0" borderId="0" xfId="1" applyAlignment="1">
      <alignment horizontal="right" vertical="center"/>
    </xf>
    <xf numFmtId="0" fontId="3" fillId="0" borderId="0" xfId="1" applyFont="1" applyBorder="1" applyAlignment="1">
      <alignment horizontal="centerContinuous" vertical="center"/>
    </xf>
    <xf numFmtId="0" fontId="0" fillId="0" borderId="8" xfId="0" applyFont="1" applyBorder="1" applyAlignment="1">
      <alignment horizontal="left" vertical="center" wrapText="1"/>
    </xf>
    <xf numFmtId="0" fontId="3" fillId="0" borderId="8" xfId="1" applyFont="1" applyBorder="1" applyAlignment="1">
      <alignment horizontal="left" vertical="center" wrapText="1"/>
    </xf>
    <xf numFmtId="0" fontId="3" fillId="0" borderId="11" xfId="1" applyFont="1" applyBorder="1" applyAlignment="1">
      <alignment horizontal="left" vertical="center"/>
    </xf>
    <xf numFmtId="0" fontId="0" fillId="0" borderId="12" xfId="0" applyFont="1" applyBorder="1" applyAlignment="1">
      <alignment horizontal="left" vertical="center" wrapText="1"/>
    </xf>
    <xf numFmtId="0" fontId="0" fillId="0" borderId="15" xfId="0" applyFont="1" applyBorder="1" applyAlignment="1">
      <alignment horizontal="left" vertical="center" wrapText="1"/>
    </xf>
    <xf numFmtId="0" fontId="3" fillId="0" borderId="15" xfId="1" applyFont="1" applyBorder="1" applyAlignment="1">
      <alignment horizontal="left" vertical="center" wrapText="1"/>
    </xf>
    <xf numFmtId="0" fontId="8" fillId="0" borderId="2" xfId="0" applyFont="1" applyBorder="1">
      <alignment vertical="center"/>
    </xf>
    <xf numFmtId="0" fontId="0" fillId="0" borderId="2" xfId="0" applyBorder="1">
      <alignment vertical="center"/>
    </xf>
    <xf numFmtId="0" fontId="3" fillId="0" borderId="23" xfId="1" applyFont="1" applyBorder="1" applyAlignment="1">
      <alignment horizontal="left" vertical="center"/>
    </xf>
    <xf numFmtId="0" fontId="0" fillId="0" borderId="29" xfId="0" applyFont="1" applyBorder="1" applyAlignment="1">
      <alignment horizontal="left" vertical="center" wrapText="1"/>
    </xf>
    <xf numFmtId="0" fontId="0" fillId="0" borderId="33" xfId="0" applyFont="1" applyBorder="1" applyAlignment="1">
      <alignment horizontal="left" vertical="center" wrapText="1"/>
    </xf>
    <xf numFmtId="0" fontId="3" fillId="0" borderId="33" xfId="1" applyFont="1" applyBorder="1" applyAlignment="1">
      <alignment horizontal="left" vertical="center" wrapText="1"/>
    </xf>
    <xf numFmtId="0" fontId="0" fillId="0" borderId="8" xfId="0" applyFont="1" applyBorder="1" applyAlignment="1">
      <alignment horizontal="right" vertical="center"/>
    </xf>
    <xf numFmtId="176" fontId="3" fillId="0" borderId="4" xfId="1" applyNumberFormat="1" applyFont="1" applyBorder="1" applyAlignment="1">
      <alignment horizontal="center" vertical="center"/>
    </xf>
    <xf numFmtId="0" fontId="0" fillId="0" borderId="15" xfId="0" applyFont="1" applyBorder="1" applyAlignment="1">
      <alignment horizontal="right" vertical="center"/>
    </xf>
    <xf numFmtId="176" fontId="3" fillId="0" borderId="39" xfId="1" applyNumberFormat="1" applyFont="1" applyBorder="1" applyAlignment="1">
      <alignment horizontal="right" vertical="center"/>
    </xf>
    <xf numFmtId="176" fontId="3" fillId="0" borderId="40" xfId="1" applyNumberFormat="1" applyFont="1" applyBorder="1" applyAlignment="1">
      <alignment horizontal="right" vertical="center"/>
    </xf>
    <xf numFmtId="176" fontId="3" fillId="0" borderId="41" xfId="1" applyNumberFormat="1" applyFont="1" applyBorder="1" applyAlignment="1">
      <alignment horizontal="right" vertical="center"/>
    </xf>
    <xf numFmtId="0" fontId="0" fillId="0" borderId="33" xfId="0" applyFont="1" applyBorder="1" applyAlignment="1">
      <alignment horizontal="right" vertical="center"/>
    </xf>
    <xf numFmtId="176" fontId="3" fillId="0" borderId="8" xfId="1" applyNumberFormat="1" applyFont="1" applyBorder="1" applyAlignment="1">
      <alignment horizontal="right" vertical="center" shrinkToFit="1"/>
    </xf>
    <xf numFmtId="0" fontId="3" fillId="0" borderId="15" xfId="1" applyFont="1" applyBorder="1" applyAlignment="1">
      <alignment vertical="center" shrinkToFit="1"/>
    </xf>
    <xf numFmtId="176" fontId="3" fillId="0" borderId="15" xfId="1" applyNumberFormat="1" applyFont="1" applyBorder="1" applyAlignment="1">
      <alignment horizontal="right" vertical="center" shrinkToFit="1"/>
    </xf>
    <xf numFmtId="0" fontId="3" fillId="0" borderId="29" xfId="1" applyFont="1" applyBorder="1" applyAlignment="1">
      <alignment vertical="center" shrinkToFit="1"/>
    </xf>
    <xf numFmtId="0" fontId="3" fillId="0" borderId="33" xfId="1" applyFont="1" applyBorder="1" applyAlignment="1">
      <alignment vertical="center" shrinkToFit="1"/>
    </xf>
    <xf numFmtId="177" fontId="3" fillId="0" borderId="33" xfId="1" applyNumberFormat="1" applyFont="1" applyBorder="1" applyAlignment="1">
      <alignment horizontal="left" vertical="center" shrinkToFit="1"/>
    </xf>
    <xf numFmtId="176" fontId="3" fillId="0" borderId="33" xfId="1" applyNumberFormat="1" applyFont="1" applyBorder="1" applyAlignment="1">
      <alignment horizontal="right" vertical="center" shrinkToFit="1"/>
    </xf>
    <xf numFmtId="38" fontId="0" fillId="0" borderId="0" xfId="3" applyFont="1">
      <alignment vertical="center"/>
    </xf>
    <xf numFmtId="38" fontId="11" fillId="0" borderId="0" xfId="3" applyFont="1">
      <alignment vertical="center"/>
    </xf>
    <xf numFmtId="38" fontId="12" fillId="0" borderId="42" xfId="3" applyFont="1" applyBorder="1" applyAlignment="1">
      <alignment horizontal="center" vertical="center" wrapText="1"/>
    </xf>
    <xf numFmtId="0" fontId="13" fillId="0" borderId="43" xfId="0" applyFont="1" applyBorder="1" applyAlignment="1">
      <alignment horizontal="center" vertical="center" wrapText="1"/>
    </xf>
    <xf numFmtId="38" fontId="13" fillId="0" borderId="44" xfId="3" applyFont="1" applyFill="1" applyBorder="1" applyAlignment="1">
      <alignment horizontal="center" vertical="center"/>
    </xf>
    <xf numFmtId="38" fontId="13" fillId="0" borderId="45" xfId="3" applyFont="1" applyBorder="1">
      <alignment vertical="center"/>
    </xf>
    <xf numFmtId="38" fontId="13" fillId="0" borderId="46" xfId="3" applyFont="1" applyBorder="1">
      <alignment vertical="center"/>
    </xf>
    <xf numFmtId="38" fontId="13" fillId="0" borderId="47" xfId="3" applyFont="1" applyBorder="1">
      <alignment vertical="center"/>
    </xf>
    <xf numFmtId="38" fontId="0" fillId="0" borderId="0" xfId="3" applyFont="1" applyBorder="1">
      <alignment vertical="center"/>
    </xf>
    <xf numFmtId="38" fontId="14" fillId="0" borderId="0" xfId="3" applyFont="1">
      <alignment vertical="center"/>
    </xf>
    <xf numFmtId="0" fontId="13" fillId="0" borderId="48" xfId="0" applyFont="1" applyBorder="1" applyAlignment="1">
      <alignment horizontal="center" vertical="center" wrapText="1"/>
    </xf>
    <xf numFmtId="0" fontId="13" fillId="0" borderId="0" xfId="0" applyFont="1" applyBorder="1" applyAlignment="1">
      <alignment horizontal="center" vertical="center" wrapText="1"/>
    </xf>
    <xf numFmtId="38" fontId="13" fillId="0" borderId="3" xfId="3" applyFont="1" applyFill="1" applyBorder="1" applyAlignment="1">
      <alignment horizontal="center" vertical="center"/>
    </xf>
    <xf numFmtId="38" fontId="0" fillId="0" borderId="13" xfId="3" applyFont="1" applyBorder="1" applyAlignment="1">
      <alignment horizontal="center" vertical="center"/>
    </xf>
    <xf numFmtId="38" fontId="0" fillId="0" borderId="16" xfId="3" applyFont="1" applyBorder="1" applyAlignment="1">
      <alignment horizontal="center" vertical="center"/>
    </xf>
    <xf numFmtId="38" fontId="0" fillId="0" borderId="16" xfId="3" applyFont="1" applyBorder="1">
      <alignment vertical="center"/>
    </xf>
    <xf numFmtId="38" fontId="0" fillId="0" borderId="49" xfId="3" applyFont="1" applyBorder="1">
      <alignment vertical="center"/>
    </xf>
    <xf numFmtId="38" fontId="13" fillId="0" borderId="0" xfId="3" applyFont="1" applyBorder="1">
      <alignment vertical="center"/>
    </xf>
    <xf numFmtId="38" fontId="15" fillId="0" borderId="50" xfId="3" applyFont="1" applyBorder="1" applyAlignment="1">
      <alignment horizontal="center" vertical="center" wrapText="1"/>
    </xf>
    <xf numFmtId="38" fontId="16" fillId="0" borderId="51" xfId="3" applyFont="1" applyBorder="1" applyAlignment="1">
      <alignment horizontal="left" vertical="top" wrapText="1"/>
    </xf>
    <xf numFmtId="0" fontId="13" fillId="0" borderId="52" xfId="0" applyFont="1" applyBorder="1" applyAlignment="1">
      <alignment horizontal="left" vertical="top" wrapText="1"/>
    </xf>
    <xf numFmtId="38" fontId="0" fillId="0" borderId="53" xfId="3" applyFont="1" applyFill="1" applyBorder="1">
      <alignment vertical="center"/>
    </xf>
    <xf numFmtId="38" fontId="0" fillId="0" borderId="54" xfId="3" applyFont="1" applyBorder="1">
      <alignment vertical="center"/>
    </xf>
    <xf numFmtId="38" fontId="0" fillId="0" borderId="55" xfId="3" applyFont="1" applyBorder="1">
      <alignment vertical="center"/>
    </xf>
    <xf numFmtId="38" fontId="0" fillId="0" borderId="56" xfId="3" applyFont="1" applyBorder="1">
      <alignment vertical="center"/>
    </xf>
    <xf numFmtId="0" fontId="15" fillId="0" borderId="57" xfId="0" applyFont="1" applyBorder="1" applyAlignment="1">
      <alignment horizontal="center" vertical="center" wrapText="1"/>
    </xf>
    <xf numFmtId="38" fontId="16" fillId="0" borderId="4" xfId="3" applyFont="1" applyBorder="1" applyAlignment="1">
      <alignment horizontal="left" vertical="top" wrapText="1"/>
    </xf>
    <xf numFmtId="0" fontId="13" fillId="0" borderId="8" xfId="0" applyFont="1" applyBorder="1" applyAlignment="1">
      <alignment horizontal="left" vertical="top" wrapText="1"/>
    </xf>
    <xf numFmtId="38" fontId="0" fillId="0" borderId="3" xfId="3" applyFont="1" applyFill="1" applyBorder="1">
      <alignment vertical="center"/>
    </xf>
    <xf numFmtId="38" fontId="0" fillId="0" borderId="6" xfId="3" applyFont="1" applyBorder="1">
      <alignment vertical="center"/>
    </xf>
    <xf numFmtId="38" fontId="0" fillId="0" borderId="9" xfId="3" applyFont="1" applyBorder="1">
      <alignment vertical="center"/>
    </xf>
    <xf numFmtId="38" fontId="0" fillId="0" borderId="58" xfId="3" applyFont="1" applyBorder="1">
      <alignment vertical="center"/>
    </xf>
    <xf numFmtId="38" fontId="16" fillId="0" borderId="59" xfId="3" applyFont="1" applyBorder="1" applyAlignment="1">
      <alignment horizontal="left" vertical="top" wrapText="1"/>
    </xf>
    <xf numFmtId="0" fontId="13" fillId="0" borderId="60" xfId="0" applyFont="1" applyBorder="1" applyAlignment="1">
      <alignment horizontal="left" vertical="top" wrapText="1"/>
    </xf>
    <xf numFmtId="38" fontId="0" fillId="0" borderId="61" xfId="3" applyFont="1" applyFill="1" applyBorder="1">
      <alignment vertical="center"/>
    </xf>
    <xf numFmtId="38" fontId="0" fillId="0" borderId="62" xfId="3" applyFont="1" applyBorder="1">
      <alignment vertical="center"/>
    </xf>
    <xf numFmtId="38" fontId="0" fillId="0" borderId="63" xfId="3" applyFont="1" applyBorder="1">
      <alignment vertical="center"/>
    </xf>
    <xf numFmtId="38" fontId="0" fillId="0" borderId="64" xfId="3" applyFont="1" applyBorder="1">
      <alignment vertical="center"/>
    </xf>
    <xf numFmtId="38" fontId="16" fillId="0" borderId="65" xfId="3" applyFont="1" applyBorder="1" applyAlignment="1">
      <alignment horizontal="left" vertical="top" wrapText="1"/>
    </xf>
    <xf numFmtId="0" fontId="13" fillId="0" borderId="66" xfId="0" applyFont="1" applyBorder="1" applyAlignment="1">
      <alignment horizontal="left" vertical="top" wrapText="1"/>
    </xf>
    <xf numFmtId="38" fontId="0" fillId="0" borderId="67" xfId="3" applyFont="1" applyFill="1" applyBorder="1">
      <alignment vertical="center"/>
    </xf>
    <xf numFmtId="38" fontId="0" fillId="0" borderId="68" xfId="3" applyFont="1" applyBorder="1">
      <alignment vertical="center"/>
    </xf>
    <xf numFmtId="38" fontId="0" fillId="0" borderId="69" xfId="3" applyFont="1" applyBorder="1">
      <alignment vertical="center"/>
    </xf>
    <xf numFmtId="38" fontId="0" fillId="0" borderId="70" xfId="3" applyFont="1" applyBorder="1">
      <alignment vertical="center"/>
    </xf>
    <xf numFmtId="0" fontId="15" fillId="0" borderId="71" xfId="0" applyFont="1" applyBorder="1" applyAlignment="1">
      <alignment horizontal="center" vertical="center" wrapText="1"/>
    </xf>
    <xf numFmtId="38" fontId="15" fillId="0" borderId="72" xfId="3" applyFont="1" applyBorder="1" applyAlignment="1">
      <alignment horizontal="left" vertical="top" wrapText="1"/>
    </xf>
    <xf numFmtId="0" fontId="13" fillId="0" borderId="73" xfId="0" applyFont="1" applyBorder="1" applyAlignment="1">
      <alignment horizontal="left" vertical="top" wrapText="1"/>
    </xf>
    <xf numFmtId="38" fontId="0" fillId="0" borderId="74" xfId="3" applyFont="1" applyFill="1" applyBorder="1">
      <alignment vertical="center"/>
    </xf>
    <xf numFmtId="38" fontId="0" fillId="0" borderId="75" xfId="3" applyFont="1" applyBorder="1">
      <alignment vertical="center"/>
    </xf>
    <xf numFmtId="38" fontId="0" fillId="0" borderId="76" xfId="3" applyFont="1" applyBorder="1">
      <alignment vertical="center"/>
    </xf>
    <xf numFmtId="38" fontId="0" fillId="0" borderId="77" xfId="3" applyFont="1" applyBorder="1">
      <alignment vertical="center"/>
    </xf>
    <xf numFmtId="38" fontId="16" fillId="0" borderId="78" xfId="3" applyFont="1" applyBorder="1" applyAlignment="1">
      <alignment horizontal="left" vertical="top" wrapText="1"/>
    </xf>
    <xf numFmtId="0" fontId="13" fillId="0" borderId="79" xfId="0" applyFont="1" applyBorder="1" applyAlignment="1">
      <alignment horizontal="left" vertical="top"/>
    </xf>
    <xf numFmtId="38" fontId="13" fillId="0" borderId="11" xfId="3" applyFont="1" applyBorder="1" applyAlignment="1">
      <alignment horizontal="center" vertical="center"/>
    </xf>
    <xf numFmtId="49" fontId="16" fillId="0" borderId="2" xfId="3" applyNumberFormat="1" applyFont="1" applyBorder="1" applyAlignment="1">
      <alignment horizontal="left" vertical="top" wrapText="1"/>
    </xf>
    <xf numFmtId="38" fontId="0" fillId="0" borderId="2" xfId="3" applyFont="1" applyFill="1" applyBorder="1">
      <alignment vertical="center"/>
    </xf>
    <xf numFmtId="38" fontId="0" fillId="0" borderId="80" xfId="3" applyFont="1" applyBorder="1">
      <alignment vertical="center"/>
    </xf>
    <xf numFmtId="38" fontId="0" fillId="0" borderId="81" xfId="3" applyFont="1" applyBorder="1">
      <alignment vertical="center"/>
    </xf>
    <xf numFmtId="38" fontId="0" fillId="0" borderId="82" xfId="3" applyFont="1" applyBorder="1">
      <alignment vertical="center"/>
    </xf>
    <xf numFmtId="38" fontId="17" fillId="0" borderId="0" xfId="3" applyFont="1" applyBorder="1" applyAlignment="1">
      <alignment vertical="center"/>
    </xf>
    <xf numFmtId="0" fontId="13" fillId="0" borderId="23" xfId="0" applyFont="1" applyBorder="1" applyAlignment="1">
      <alignment horizontal="center" vertical="center"/>
    </xf>
    <xf numFmtId="38" fontId="16" fillId="0" borderId="2" xfId="3" applyFont="1" applyBorder="1" applyAlignment="1">
      <alignment horizontal="left" vertical="top" wrapText="1"/>
    </xf>
    <xf numFmtId="38" fontId="0" fillId="2" borderId="80" xfId="3" applyFont="1" applyFill="1" applyBorder="1">
      <alignment vertical="center"/>
    </xf>
    <xf numFmtId="38" fontId="0" fillId="2" borderId="81" xfId="3" applyFont="1" applyFill="1" applyBorder="1">
      <alignment vertical="center"/>
    </xf>
    <xf numFmtId="38" fontId="0" fillId="2" borderId="82" xfId="3" applyFont="1" applyFill="1" applyBorder="1">
      <alignment vertical="center"/>
    </xf>
    <xf numFmtId="38" fontId="11" fillId="0" borderId="0" xfId="3" applyFont="1" applyBorder="1" applyAlignment="1">
      <alignment vertical="center"/>
    </xf>
    <xf numFmtId="38" fontId="0" fillId="0" borderId="15" xfId="3" applyFont="1" applyFill="1" applyBorder="1">
      <alignment vertical="center"/>
    </xf>
    <xf numFmtId="38" fontId="0" fillId="2" borderId="13" xfId="3" applyFont="1" applyFill="1" applyBorder="1">
      <alignment vertical="center"/>
    </xf>
    <xf numFmtId="38" fontId="0" fillId="2" borderId="16" xfId="3" applyFont="1" applyFill="1" applyBorder="1">
      <alignment vertical="center"/>
    </xf>
    <xf numFmtId="38" fontId="0" fillId="2" borderId="49" xfId="3" applyFont="1" applyFill="1" applyBorder="1">
      <alignment vertical="center"/>
    </xf>
    <xf numFmtId="38" fontId="12" fillId="0" borderId="0" xfId="3" applyFont="1" applyBorder="1" applyAlignment="1">
      <alignment vertical="center"/>
    </xf>
    <xf numFmtId="0" fontId="16" fillId="0" borderId="65" xfId="0" applyFont="1" applyBorder="1" applyAlignment="1">
      <alignment horizontal="left" vertical="top" wrapText="1"/>
    </xf>
    <xf numFmtId="0" fontId="0" fillId="0" borderId="66" xfId="0" applyBorder="1" applyAlignment="1">
      <alignment vertical="top" wrapText="1"/>
    </xf>
    <xf numFmtId="38" fontId="0" fillId="2" borderId="83" xfId="3" applyFont="1" applyFill="1" applyBorder="1">
      <alignment vertical="center"/>
    </xf>
    <xf numFmtId="38" fontId="0" fillId="2" borderId="69" xfId="3" applyFont="1" applyFill="1" applyBorder="1">
      <alignment vertical="center"/>
    </xf>
    <xf numFmtId="38" fontId="0" fillId="2" borderId="84" xfId="3" applyFont="1" applyFill="1" applyBorder="1">
      <alignment vertical="center"/>
    </xf>
    <xf numFmtId="0" fontId="15" fillId="0" borderId="72" xfId="0" applyFont="1" applyBorder="1" applyAlignment="1">
      <alignment horizontal="left" vertical="top" wrapText="1"/>
    </xf>
    <xf numFmtId="38" fontId="0" fillId="0" borderId="73" xfId="3" applyFont="1" applyFill="1" applyBorder="1">
      <alignment vertical="center"/>
    </xf>
    <xf numFmtId="38" fontId="0" fillId="0" borderId="85" xfId="3" applyFont="1" applyBorder="1">
      <alignment vertical="center"/>
    </xf>
    <xf numFmtId="38" fontId="0" fillId="0" borderId="86" xfId="3" applyFont="1" applyBorder="1">
      <alignment vertical="center"/>
    </xf>
    <xf numFmtId="38" fontId="14" fillId="0" borderId="0" xfId="3" applyFont="1" applyBorder="1" applyAlignment="1">
      <alignment vertical="center"/>
    </xf>
    <xf numFmtId="38" fontId="15" fillId="0" borderId="87" xfId="3" applyFont="1" applyBorder="1" applyAlignment="1">
      <alignment horizontal="left" vertical="top" wrapText="1"/>
    </xf>
    <xf numFmtId="0" fontId="13" fillId="0" borderId="88" xfId="0" applyFont="1" applyBorder="1" applyAlignment="1">
      <alignment horizontal="left" vertical="top" wrapText="1"/>
    </xf>
    <xf numFmtId="38" fontId="0" fillId="0" borderId="83" xfId="3" applyFont="1" applyBorder="1">
      <alignment vertical="center"/>
    </xf>
    <xf numFmtId="38" fontId="0" fillId="0" borderId="84" xfId="3" applyFont="1" applyBorder="1">
      <alignment vertical="center"/>
    </xf>
    <xf numFmtId="38" fontId="14" fillId="0" borderId="0" xfId="3" applyFont="1" applyBorder="1">
      <alignment vertical="center"/>
    </xf>
    <xf numFmtId="38" fontId="13" fillId="0" borderId="87" xfId="3" applyFont="1" applyBorder="1" applyAlignment="1">
      <alignment horizontal="left" vertical="center" wrapText="1"/>
    </xf>
    <xf numFmtId="0" fontId="13" fillId="0" borderId="88" xfId="0" applyFont="1" applyBorder="1" applyAlignment="1">
      <alignment horizontal="left" vertical="center" wrapText="1"/>
    </xf>
    <xf numFmtId="0" fontId="13" fillId="0" borderId="66" xfId="0" applyFont="1" applyBorder="1" applyAlignment="1">
      <alignment horizontal="left" vertical="center" wrapText="1"/>
    </xf>
    <xf numFmtId="38" fontId="14" fillId="0" borderId="42" xfId="3" applyFont="1" applyBorder="1" applyAlignment="1">
      <alignment horizontal="center" vertical="center" wrapText="1"/>
    </xf>
    <xf numFmtId="0" fontId="0" fillId="0" borderId="43" xfId="0" applyBorder="1" applyAlignment="1">
      <alignment horizontal="center" vertical="center" wrapText="1"/>
    </xf>
    <xf numFmtId="38" fontId="0" fillId="3" borderId="44" xfId="3" applyFont="1" applyFill="1" applyBorder="1" applyAlignment="1">
      <alignment horizontal="center" vertical="center"/>
    </xf>
    <xf numFmtId="38" fontId="0" fillId="0" borderId="89" xfId="3" applyFont="1" applyBorder="1">
      <alignment vertical="center"/>
    </xf>
    <xf numFmtId="38" fontId="0" fillId="0" borderId="90" xfId="3" applyFont="1" applyBorder="1">
      <alignment vertical="center"/>
    </xf>
    <xf numFmtId="38" fontId="0" fillId="0" borderId="91" xfId="3" applyFont="1" applyBorder="1">
      <alignment vertical="center"/>
    </xf>
    <xf numFmtId="0" fontId="0" fillId="0" borderId="48" xfId="0" applyBorder="1" applyAlignment="1">
      <alignment horizontal="center" vertical="center" wrapText="1"/>
    </xf>
    <xf numFmtId="0" fontId="0" fillId="0" borderId="0" xfId="0" applyBorder="1" applyAlignment="1">
      <alignment horizontal="center" vertical="center" wrapText="1"/>
    </xf>
    <xf numFmtId="38" fontId="0" fillId="3" borderId="3" xfId="3" applyFont="1" applyFill="1" applyBorder="1" applyAlignment="1">
      <alignment horizontal="center" vertical="center"/>
    </xf>
    <xf numFmtId="38" fontId="0" fillId="0" borderId="13" xfId="3" applyFont="1" applyBorder="1">
      <alignment vertical="center"/>
    </xf>
    <xf numFmtId="38" fontId="14" fillId="0" borderId="50" xfId="3" applyFont="1" applyBorder="1" applyAlignment="1">
      <alignment horizontal="center" vertical="center" wrapText="1"/>
    </xf>
    <xf numFmtId="38" fontId="18" fillId="0" borderId="43" xfId="3" applyFont="1" applyBorder="1" applyAlignment="1">
      <alignment horizontal="center" vertical="top" wrapText="1"/>
    </xf>
    <xf numFmtId="0" fontId="0" fillId="0" borderId="43" xfId="0" applyBorder="1" applyAlignment="1">
      <alignment horizontal="center" vertical="top" wrapText="1"/>
    </xf>
    <xf numFmtId="38" fontId="0" fillId="3" borderId="53" xfId="3" applyFont="1" applyFill="1" applyBorder="1">
      <alignment vertical="center"/>
    </xf>
    <xf numFmtId="38" fontId="0" fillId="0" borderId="92" xfId="3" applyFont="1" applyBorder="1">
      <alignment vertical="center"/>
    </xf>
    <xf numFmtId="38" fontId="0" fillId="0" borderId="46" xfId="3" applyFont="1" applyBorder="1">
      <alignment vertical="center"/>
    </xf>
    <xf numFmtId="38" fontId="0" fillId="0" borderId="47" xfId="3" applyFont="1" applyBorder="1">
      <alignment vertical="center"/>
    </xf>
    <xf numFmtId="0" fontId="0" fillId="0" borderId="57" xfId="0" applyBorder="1" applyAlignment="1">
      <alignment horizontal="center" vertical="center" wrapText="1"/>
    </xf>
    <xf numFmtId="38" fontId="18" fillId="0" borderId="93" xfId="3" applyFont="1" applyBorder="1" applyAlignment="1">
      <alignment horizontal="center" vertical="top" wrapText="1"/>
    </xf>
    <xf numFmtId="0" fontId="0" fillId="0" borderId="94" xfId="0" applyBorder="1" applyAlignment="1">
      <alignment horizontal="center" vertical="top" wrapText="1"/>
    </xf>
    <xf numFmtId="38" fontId="0" fillId="3" borderId="95" xfId="3" applyFont="1" applyFill="1" applyBorder="1">
      <alignment vertical="center"/>
    </xf>
    <xf numFmtId="38" fontId="0" fillId="0" borderId="96" xfId="3" applyFont="1" applyBorder="1">
      <alignment vertical="center"/>
    </xf>
    <xf numFmtId="38" fontId="0" fillId="0" borderId="97" xfId="3" applyFont="1" applyBorder="1">
      <alignment vertical="center"/>
    </xf>
    <xf numFmtId="38" fontId="0" fillId="0" borderId="98" xfId="3" applyFont="1" applyBorder="1">
      <alignment vertical="center"/>
    </xf>
    <xf numFmtId="38" fontId="13" fillId="0" borderId="30" xfId="3" applyFont="1" applyBorder="1" applyAlignment="1">
      <alignment horizontal="center" vertical="top" wrapText="1"/>
    </xf>
    <xf numFmtId="0" fontId="0" fillId="0" borderId="30" xfId="0" applyFont="1" applyBorder="1" applyAlignment="1">
      <alignment horizontal="center" vertical="top" wrapText="1"/>
    </xf>
    <xf numFmtId="38" fontId="0" fillId="3" borderId="23" xfId="3" applyFont="1" applyFill="1" applyBorder="1">
      <alignment vertical="center"/>
    </xf>
    <xf numFmtId="38" fontId="0" fillId="0" borderId="99" xfId="3" applyFont="1" applyBorder="1">
      <alignment vertical="center"/>
    </xf>
    <xf numFmtId="38" fontId="13" fillId="0" borderId="5" xfId="3" applyFont="1" applyBorder="1" applyAlignment="1">
      <alignment horizontal="center" vertical="top" wrapText="1"/>
    </xf>
    <xf numFmtId="0" fontId="0" fillId="0" borderId="8" xfId="0" applyBorder="1" applyAlignment="1">
      <alignment horizontal="center" vertical="top" wrapText="1"/>
    </xf>
    <xf numFmtId="38" fontId="0" fillId="3" borderId="2" xfId="3" applyFont="1" applyFill="1" applyBorder="1">
      <alignment vertical="center"/>
    </xf>
    <xf numFmtId="38" fontId="0" fillId="0" borderId="100" xfId="3" applyFont="1" applyBorder="1">
      <alignment vertical="center"/>
    </xf>
    <xf numFmtId="38" fontId="0" fillId="0" borderId="101" xfId="3" applyFont="1" applyBorder="1">
      <alignment vertical="center"/>
    </xf>
    <xf numFmtId="38" fontId="0" fillId="0" borderId="102" xfId="3" applyFont="1" applyBorder="1">
      <alignment vertical="center"/>
    </xf>
    <xf numFmtId="0" fontId="0" fillId="0" borderId="71" xfId="0" applyBorder="1" applyAlignment="1">
      <alignment horizontal="center" vertical="center" wrapText="1"/>
    </xf>
    <xf numFmtId="38" fontId="13" fillId="0" borderId="59" xfId="3" applyFont="1" applyBorder="1" applyAlignment="1">
      <alignment horizontal="center" vertical="top" wrapText="1"/>
    </xf>
    <xf numFmtId="0" fontId="0" fillId="0" borderId="60" xfId="0" applyBorder="1" applyAlignment="1">
      <alignment horizontal="center" vertical="top" wrapText="1"/>
    </xf>
    <xf numFmtId="38" fontId="0" fillId="3" borderId="74" xfId="3" applyFont="1" applyFill="1" applyBorder="1">
      <alignment vertical="center"/>
    </xf>
    <xf numFmtId="38" fontId="18" fillId="0" borderId="78" xfId="3" applyFont="1" applyBorder="1" applyAlignment="1">
      <alignment horizontal="center" vertical="center" wrapText="1"/>
    </xf>
    <xf numFmtId="0" fontId="0" fillId="0" borderId="79" xfId="0" applyBorder="1" applyAlignment="1">
      <alignment horizontal="center" vertical="center"/>
    </xf>
    <xf numFmtId="38" fontId="0" fillId="0" borderId="11" xfId="3" applyFont="1" applyBorder="1" applyAlignment="1">
      <alignment horizontal="center" vertical="center"/>
    </xf>
    <xf numFmtId="49" fontId="18" fillId="0" borderId="2" xfId="3" applyNumberFormat="1" applyFont="1" applyBorder="1" applyAlignment="1">
      <alignment horizontal="center" vertical="center" wrapText="1"/>
    </xf>
    <xf numFmtId="38" fontId="0" fillId="0" borderId="103" xfId="3" applyFont="1" applyBorder="1">
      <alignment vertical="center"/>
    </xf>
    <xf numFmtId="38" fontId="0" fillId="0" borderId="104" xfId="3" applyFont="1" applyBorder="1">
      <alignment vertical="center"/>
    </xf>
    <xf numFmtId="0" fontId="0" fillId="0" borderId="23" xfId="0" applyBorder="1" applyAlignment="1">
      <alignment horizontal="center" vertical="center"/>
    </xf>
    <xf numFmtId="38" fontId="19" fillId="0" borderId="2" xfId="3" applyFont="1" applyBorder="1" applyAlignment="1">
      <alignment horizontal="center" vertical="center" wrapText="1"/>
    </xf>
    <xf numFmtId="38" fontId="0" fillId="0" borderId="105" xfId="3" applyFont="1" applyBorder="1">
      <alignment vertical="center"/>
    </xf>
    <xf numFmtId="38" fontId="18" fillId="0" borderId="0" xfId="3" applyFont="1" applyBorder="1" applyAlignment="1">
      <alignment horizontal="center" vertical="center" wrapText="1"/>
    </xf>
    <xf numFmtId="0" fontId="0" fillId="0" borderId="15" xfId="0" applyBorder="1" applyAlignment="1">
      <alignment horizontal="center" vertical="center" wrapText="1"/>
    </xf>
    <xf numFmtId="38" fontId="0" fillId="3" borderId="106" xfId="3" applyFont="1" applyFill="1" applyBorder="1">
      <alignment vertical="center"/>
    </xf>
    <xf numFmtId="38" fontId="0" fillId="0" borderId="107" xfId="3" applyFont="1" applyBorder="1">
      <alignment vertical="center"/>
    </xf>
    <xf numFmtId="0" fontId="0" fillId="0" borderId="59" xfId="0" applyBorder="1" applyAlignment="1">
      <alignment horizontal="center" vertical="center" wrapText="1"/>
    </xf>
    <xf numFmtId="0" fontId="0" fillId="0" borderId="60" xfId="0" applyBorder="1" applyAlignment="1">
      <alignment horizontal="center" vertical="center" wrapText="1"/>
    </xf>
    <xf numFmtId="38" fontId="0" fillId="3" borderId="73" xfId="3" applyFont="1" applyFill="1" applyBorder="1">
      <alignment vertical="center"/>
    </xf>
    <xf numFmtId="38" fontId="0" fillId="0" borderId="108" xfId="3" applyFont="1" applyBorder="1">
      <alignment vertical="center"/>
    </xf>
    <xf numFmtId="38" fontId="0" fillId="0" borderId="109" xfId="3" applyFont="1" applyBorder="1">
      <alignment vertical="center"/>
    </xf>
    <xf numFmtId="38" fontId="0" fillId="0" borderId="110" xfId="3" applyFont="1" applyBorder="1">
      <alignment vertical="center"/>
    </xf>
    <xf numFmtId="38" fontId="0" fillId="0" borderId="111" xfId="3" applyFont="1" applyBorder="1">
      <alignment vertical="center"/>
    </xf>
    <xf numFmtId="38" fontId="19" fillId="0" borderId="87" xfId="3" applyFont="1" applyBorder="1" applyAlignment="1">
      <alignment horizontal="center" vertical="center" wrapText="1"/>
    </xf>
    <xf numFmtId="0" fontId="0" fillId="0" borderId="88" xfId="0" applyBorder="1" applyAlignment="1">
      <alignment horizontal="center" vertical="center" wrapText="1"/>
    </xf>
    <xf numFmtId="0" fontId="0" fillId="0" borderId="66" xfId="0" applyBorder="1" applyAlignment="1">
      <alignment horizontal="center" vertical="center" wrapText="1"/>
    </xf>
    <xf numFmtId="38" fontId="0" fillId="3" borderId="67" xfId="3" applyFont="1" applyFill="1" applyBorder="1">
      <alignment vertical="center"/>
    </xf>
    <xf numFmtId="38" fontId="13" fillId="0" borderId="112" xfId="3" applyFont="1" applyBorder="1" applyAlignment="1">
      <alignment horizontal="center" vertical="center" wrapText="1"/>
    </xf>
    <xf numFmtId="0" fontId="0" fillId="0" borderId="113" xfId="0" applyBorder="1" applyAlignment="1">
      <alignment horizontal="center" vertical="center" wrapText="1"/>
    </xf>
    <xf numFmtId="0" fontId="13" fillId="0" borderId="0" xfId="0" applyFont="1">
      <alignment vertical="center"/>
    </xf>
    <xf numFmtId="0" fontId="20" fillId="2" borderId="0" xfId="0" applyFont="1" applyFill="1">
      <alignment vertical="center"/>
    </xf>
    <xf numFmtId="0" fontId="13" fillId="2" borderId="114"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0" xfId="0" applyFont="1" applyFill="1">
      <alignment vertical="center"/>
    </xf>
    <xf numFmtId="0" fontId="20" fillId="2" borderId="0" xfId="0" applyFont="1" applyFill="1" applyBorder="1" applyAlignment="1">
      <alignment horizontal="left" vertical="center"/>
    </xf>
    <xf numFmtId="0" fontId="13" fillId="4" borderId="42" xfId="0" applyFont="1" applyFill="1" applyBorder="1" applyAlignment="1">
      <alignment horizontal="center" vertical="center"/>
    </xf>
    <xf numFmtId="0" fontId="0" fillId="4" borderId="116" xfId="0" applyFill="1" applyBorder="1" applyAlignment="1">
      <alignment vertical="center"/>
    </xf>
    <xf numFmtId="176" fontId="13" fillId="4" borderId="117" xfId="3" applyNumberFormat="1" applyFont="1" applyFill="1" applyBorder="1">
      <alignment vertical="center"/>
    </xf>
    <xf numFmtId="0" fontId="13" fillId="2" borderId="118" xfId="0" applyFont="1" applyFill="1" applyBorder="1" applyAlignment="1">
      <alignment horizontal="center" vertical="center"/>
    </xf>
    <xf numFmtId="176" fontId="13" fillId="2" borderId="61" xfId="3" applyNumberFormat="1" applyFont="1" applyFill="1" applyBorder="1">
      <alignment vertical="center"/>
    </xf>
    <xf numFmtId="176" fontId="13" fillId="2" borderId="119" xfId="3" applyNumberFormat="1" applyFont="1" applyFill="1" applyBorder="1">
      <alignment vertical="center"/>
    </xf>
    <xf numFmtId="38" fontId="13" fillId="2" borderId="0" xfId="0" applyNumberFormat="1" applyFont="1" applyFill="1" applyBorder="1">
      <alignment vertical="center"/>
    </xf>
    <xf numFmtId="0" fontId="13" fillId="4" borderId="112" xfId="0" applyFont="1" applyFill="1" applyBorder="1" applyAlignment="1">
      <alignment horizontal="center" vertical="center"/>
    </xf>
    <xf numFmtId="0" fontId="0" fillId="4" borderId="86" xfId="0" applyFill="1" applyBorder="1" applyAlignment="1">
      <alignment vertical="center"/>
    </xf>
    <xf numFmtId="0" fontId="13" fillId="2" borderId="0" xfId="0" applyFont="1" applyFill="1" applyBorder="1">
      <alignment vertical="center"/>
    </xf>
    <xf numFmtId="0" fontId="13" fillId="2" borderId="114" xfId="0" applyFont="1" applyFill="1" applyBorder="1">
      <alignment vertical="center"/>
    </xf>
    <xf numFmtId="0" fontId="13" fillId="2" borderId="44" xfId="0" applyFont="1" applyFill="1" applyBorder="1">
      <alignment vertical="center"/>
    </xf>
    <xf numFmtId="0" fontId="13" fillId="2" borderId="51" xfId="0" applyFont="1" applyFill="1" applyBorder="1">
      <alignment vertical="center"/>
    </xf>
    <xf numFmtId="0" fontId="13" fillId="0" borderId="120" xfId="0" applyFont="1" applyBorder="1" applyAlignment="1">
      <alignment horizontal="center" vertical="center"/>
    </xf>
    <xf numFmtId="0" fontId="13" fillId="0" borderId="0" xfId="0" applyFont="1" applyBorder="1">
      <alignment vertical="center"/>
    </xf>
    <xf numFmtId="0" fontId="13" fillId="2" borderId="121" xfId="0" applyFont="1" applyFill="1" applyBorder="1">
      <alignment vertical="center"/>
    </xf>
    <xf numFmtId="0" fontId="13" fillId="2" borderId="2" xfId="0" applyFont="1" applyFill="1" applyBorder="1" applyAlignment="1">
      <alignment horizontal="center" vertical="center"/>
    </xf>
    <xf numFmtId="0" fontId="13" fillId="2" borderId="2" xfId="0" applyFont="1" applyFill="1" applyBorder="1">
      <alignment vertical="center"/>
    </xf>
    <xf numFmtId="0" fontId="13" fillId="2" borderId="93" xfId="0" applyFont="1" applyFill="1" applyBorder="1">
      <alignment vertical="center"/>
    </xf>
    <xf numFmtId="0" fontId="0" fillId="0" borderId="122" xfId="0" applyBorder="1" applyAlignment="1">
      <alignment horizontal="center" vertical="center"/>
    </xf>
    <xf numFmtId="38" fontId="21" fillId="2" borderId="2" xfId="3" applyFont="1" applyFill="1" applyBorder="1">
      <alignment vertical="center"/>
    </xf>
    <xf numFmtId="38" fontId="13" fillId="2" borderId="2" xfId="3" applyFont="1" applyFill="1" applyBorder="1">
      <alignment vertical="center"/>
    </xf>
    <xf numFmtId="38" fontId="13" fillId="2" borderId="93" xfId="3" applyFont="1" applyFill="1" applyBorder="1">
      <alignment vertical="center"/>
    </xf>
    <xf numFmtId="38" fontId="13" fillId="0" borderId="123" xfId="3" applyFont="1" applyBorder="1">
      <alignment vertical="center"/>
    </xf>
    <xf numFmtId="0" fontId="13" fillId="2" borderId="124" xfId="0" applyFont="1" applyFill="1" applyBorder="1">
      <alignment vertical="center"/>
    </xf>
    <xf numFmtId="38" fontId="21" fillId="2" borderId="3" xfId="3" applyFont="1" applyFill="1" applyBorder="1">
      <alignment vertical="center"/>
    </xf>
    <xf numFmtId="38" fontId="13" fillId="2" borderId="3" xfId="3" applyFont="1" applyFill="1" applyBorder="1">
      <alignment vertical="center"/>
    </xf>
    <xf numFmtId="38" fontId="13" fillId="2" borderId="4" xfId="3" applyFont="1" applyFill="1" applyBorder="1">
      <alignment vertical="center"/>
    </xf>
    <xf numFmtId="38" fontId="13" fillId="0" borderId="125" xfId="3" applyFont="1" applyBorder="1">
      <alignment vertical="center"/>
    </xf>
    <xf numFmtId="0" fontId="13" fillId="2" borderId="61" xfId="0" applyFont="1" applyFill="1" applyBorder="1">
      <alignment vertical="center"/>
    </xf>
    <xf numFmtId="0" fontId="13" fillId="2" borderId="119" xfId="0" applyFont="1" applyFill="1" applyBorder="1">
      <alignment vertical="center"/>
    </xf>
    <xf numFmtId="0" fontId="20" fillId="0" borderId="0" xfId="0" applyFont="1" applyBorder="1">
      <alignment vertical="center"/>
    </xf>
    <xf numFmtId="0" fontId="13" fillId="0" borderId="0" xfId="0" applyFont="1" applyBorder="1" applyAlignment="1">
      <alignment horizontal="center" vertical="center"/>
    </xf>
    <xf numFmtId="0" fontId="20" fillId="0" borderId="2" xfId="0" applyFont="1" applyBorder="1">
      <alignment vertical="center"/>
    </xf>
    <xf numFmtId="0" fontId="13" fillId="0" borderId="2" xfId="0" applyFont="1" applyBorder="1">
      <alignment vertical="center"/>
    </xf>
    <xf numFmtId="0" fontId="22" fillId="0" borderId="0" xfId="0" applyFont="1">
      <alignment vertical="center"/>
    </xf>
    <xf numFmtId="38" fontId="13" fillId="2" borderId="0" xfId="3" applyFont="1" applyFill="1">
      <alignment vertical="center"/>
    </xf>
    <xf numFmtId="0" fontId="13" fillId="2" borderId="2" xfId="0" applyFont="1" applyFill="1" applyBorder="1" applyAlignment="1">
      <alignment vertical="center" shrinkToFit="1"/>
    </xf>
    <xf numFmtId="0" fontId="20" fillId="2" borderId="2" xfId="0" applyFont="1" applyFill="1" applyBorder="1" applyAlignment="1">
      <alignment horizontal="center" vertical="center"/>
    </xf>
    <xf numFmtId="0" fontId="20" fillId="2" borderId="0" xfId="0" applyFont="1" applyFill="1" applyBorder="1">
      <alignment vertical="center"/>
    </xf>
    <xf numFmtId="0" fontId="23" fillId="2" borderId="120" xfId="0" applyFont="1" applyFill="1" applyBorder="1">
      <alignment vertical="center"/>
    </xf>
    <xf numFmtId="38" fontId="13" fillId="2" borderId="2" xfId="3" applyFont="1" applyFill="1" applyBorder="1" applyAlignment="1">
      <alignment horizontal="center" vertical="center"/>
    </xf>
    <xf numFmtId="38" fontId="23" fillId="2" borderId="2" xfId="3" applyFont="1" applyFill="1" applyBorder="1">
      <alignment vertical="center"/>
    </xf>
    <xf numFmtId="38" fontId="16" fillId="2" borderId="117" xfId="3" applyFont="1" applyFill="1" applyBorder="1">
      <alignment vertical="center"/>
    </xf>
    <xf numFmtId="0" fontId="13" fillId="2" borderId="2" xfId="0" applyFont="1" applyFill="1" applyBorder="1" applyAlignment="1">
      <alignment horizontal="center" vertical="center" wrapText="1"/>
    </xf>
    <xf numFmtId="0" fontId="21" fillId="2" borderId="2" xfId="0" applyFont="1" applyFill="1" applyBorder="1" applyAlignment="1">
      <alignment horizontal="center" vertical="center"/>
    </xf>
    <xf numFmtId="0" fontId="13" fillId="2" borderId="0" xfId="0" applyFont="1" applyFill="1" applyBorder="1" applyAlignment="1">
      <alignment horizontal="center" vertical="center" wrapText="1"/>
    </xf>
    <xf numFmtId="38" fontId="20" fillId="2" borderId="0" xfId="3" applyFont="1" applyFill="1" applyBorder="1">
      <alignment vertical="center"/>
    </xf>
    <xf numFmtId="0" fontId="23" fillId="2" borderId="0" xfId="0" applyFont="1" applyFill="1" applyBorder="1" applyAlignment="1">
      <alignment vertical="center"/>
    </xf>
    <xf numFmtId="0" fontId="23" fillId="2" borderId="120" xfId="0" applyFont="1" applyFill="1" applyBorder="1" applyAlignment="1">
      <alignment vertical="center"/>
    </xf>
    <xf numFmtId="0" fontId="0" fillId="2" borderId="126" xfId="0" applyFill="1" applyBorder="1" applyAlignment="1">
      <alignment vertical="center"/>
    </xf>
    <xf numFmtId="38" fontId="16" fillId="2" borderId="0" xfId="3" applyFont="1" applyFill="1" applyBorder="1">
      <alignment vertical="center"/>
    </xf>
    <xf numFmtId="0" fontId="23" fillId="2" borderId="127" xfId="0" applyFont="1" applyFill="1" applyBorder="1" applyAlignment="1">
      <alignment vertical="center"/>
    </xf>
    <xf numFmtId="38" fontId="16" fillId="2" borderId="120" xfId="0" applyNumberFormat="1" applyFont="1" applyFill="1" applyBorder="1" applyAlignment="1">
      <alignment vertical="center"/>
    </xf>
    <xf numFmtId="0" fontId="16" fillId="2" borderId="126" xfId="0" applyFont="1" applyFill="1" applyBorder="1" applyAlignment="1">
      <alignment vertical="center"/>
    </xf>
    <xf numFmtId="38" fontId="23" fillId="2" borderId="120" xfId="3" applyFont="1" applyFill="1" applyBorder="1" applyAlignment="1">
      <alignment vertical="center" shrinkToFit="1"/>
    </xf>
    <xf numFmtId="0" fontId="13" fillId="2" borderId="0" xfId="0" applyFont="1" applyFill="1" applyAlignment="1">
      <alignment vertical="center" wrapText="1"/>
    </xf>
    <xf numFmtId="0" fontId="13" fillId="2" borderId="5" xfId="0" applyFont="1" applyFill="1" applyBorder="1" applyAlignment="1">
      <alignment horizontal="center" vertical="center" shrinkToFit="1"/>
    </xf>
    <xf numFmtId="0" fontId="13" fillId="2" borderId="0" xfId="0" applyFont="1" applyFill="1" applyAlignment="1">
      <alignment vertical="center" shrinkToFit="1"/>
    </xf>
    <xf numFmtId="0" fontId="24" fillId="2" borderId="0" xfId="0" applyFont="1" applyFill="1" applyBorder="1">
      <alignment vertical="center"/>
    </xf>
    <xf numFmtId="0" fontId="13" fillId="2" borderId="42" xfId="0" applyFont="1" applyFill="1" applyBorder="1">
      <alignment vertical="center"/>
    </xf>
    <xf numFmtId="0" fontId="13" fillId="2" borderId="43" xfId="0" applyFont="1" applyFill="1" applyBorder="1">
      <alignment vertical="center"/>
    </xf>
    <xf numFmtId="0" fontId="13" fillId="2" borderId="116" xfId="0" applyFont="1" applyFill="1" applyBorder="1">
      <alignment vertical="center"/>
    </xf>
    <xf numFmtId="38" fontId="13" fillId="2" borderId="0" xfId="3" applyFont="1" applyFill="1" applyBorder="1" applyAlignment="1">
      <alignment horizontal="center" vertical="center"/>
    </xf>
    <xf numFmtId="0" fontId="13" fillId="2" borderId="48" xfId="0" applyFont="1" applyFill="1" applyBorder="1">
      <alignment vertical="center"/>
    </xf>
    <xf numFmtId="0" fontId="13" fillId="2" borderId="128" xfId="0" applyFont="1" applyFill="1" applyBorder="1">
      <alignment vertical="center"/>
    </xf>
    <xf numFmtId="0" fontId="13" fillId="2" borderId="112" xfId="0" applyFont="1" applyFill="1" applyBorder="1">
      <alignment vertical="center"/>
    </xf>
    <xf numFmtId="0" fontId="13" fillId="2" borderId="113" xfId="0" applyFont="1" applyFill="1" applyBorder="1">
      <alignment vertical="center"/>
    </xf>
    <xf numFmtId="0" fontId="13" fillId="2" borderId="86" xfId="0" applyFont="1" applyFill="1" applyBorder="1">
      <alignment vertical="center"/>
    </xf>
    <xf numFmtId="0" fontId="16" fillId="0" borderId="0" xfId="0" applyFont="1">
      <alignment vertical="center"/>
    </xf>
    <xf numFmtId="0" fontId="13" fillId="0" borderId="129" xfId="0" applyFont="1" applyBorder="1" applyAlignment="1">
      <alignment vertical="center"/>
    </xf>
    <xf numFmtId="0" fontId="13" fillId="0" borderId="130" xfId="0" applyFont="1" applyBorder="1" applyAlignment="1">
      <alignment vertical="center"/>
    </xf>
    <xf numFmtId="0" fontId="13" fillId="0" borderId="131" xfId="0" applyFont="1" applyBorder="1" applyAlignment="1">
      <alignment vertical="center"/>
    </xf>
    <xf numFmtId="0" fontId="13" fillId="0" borderId="114" xfId="0" applyFont="1" applyBorder="1">
      <alignment vertical="center"/>
    </xf>
    <xf numFmtId="0" fontId="13" fillId="0" borderId="44" xfId="0" applyFont="1" applyBorder="1">
      <alignment vertical="center"/>
    </xf>
    <xf numFmtId="0" fontId="13" fillId="0" borderId="115" xfId="0" applyFont="1" applyBorder="1">
      <alignment vertical="center"/>
    </xf>
    <xf numFmtId="0" fontId="13" fillId="0" borderId="132" xfId="0" applyFont="1" applyBorder="1" applyAlignment="1">
      <alignment horizontal="center" vertical="center"/>
    </xf>
    <xf numFmtId="0" fontId="13" fillId="0" borderId="5" xfId="0" applyFont="1" applyBorder="1" applyAlignment="1">
      <alignment horizontal="center" vertical="center"/>
    </xf>
    <xf numFmtId="0" fontId="13" fillId="0" borderId="133" xfId="0" applyFont="1" applyBorder="1" applyAlignment="1">
      <alignment horizontal="center" vertical="center"/>
    </xf>
    <xf numFmtId="0" fontId="13" fillId="0" borderId="118" xfId="0" applyFont="1" applyBorder="1">
      <alignment vertical="center"/>
    </xf>
    <xf numFmtId="0" fontId="13" fillId="0" borderId="61" xfId="0" applyFont="1" applyBorder="1">
      <alignment vertical="center"/>
    </xf>
    <xf numFmtId="0" fontId="13" fillId="0" borderId="119" xfId="0" applyFont="1" applyBorder="1">
      <alignment vertical="center"/>
    </xf>
    <xf numFmtId="0" fontId="13" fillId="0" borderId="87" xfId="0" applyFont="1" applyBorder="1" applyAlignment="1">
      <alignment horizontal="center" vertical="center" wrapText="1"/>
    </xf>
    <xf numFmtId="0" fontId="13" fillId="0" borderId="88" xfId="0" applyFont="1" applyBorder="1" applyAlignment="1">
      <alignment horizontal="center" vertical="center" wrapText="1"/>
    </xf>
    <xf numFmtId="0" fontId="13" fillId="0" borderId="84" xfId="0" applyFont="1" applyBorder="1" applyAlignment="1">
      <alignment horizontal="center" vertical="center" wrapText="1"/>
    </xf>
    <xf numFmtId="38" fontId="21" fillId="0" borderId="66" xfId="3" applyFont="1" applyBorder="1">
      <alignment vertical="center"/>
    </xf>
    <xf numFmtId="38" fontId="21" fillId="0" borderId="67" xfId="3" applyFont="1" applyBorder="1">
      <alignment vertical="center"/>
    </xf>
    <xf numFmtId="38" fontId="13" fillId="0" borderId="67" xfId="3" applyFont="1" applyBorder="1">
      <alignment vertical="center"/>
    </xf>
    <xf numFmtId="38" fontId="13" fillId="0" borderId="134" xfId="3" applyFont="1" applyBorder="1">
      <alignment vertical="center"/>
    </xf>
    <xf numFmtId="0" fontId="25" fillId="0" borderId="114" xfId="0" applyFont="1" applyBorder="1" applyAlignment="1">
      <alignment horizontal="center" vertical="center" wrapText="1"/>
    </xf>
    <xf numFmtId="0" fontId="13" fillId="0" borderId="44" xfId="0" applyFont="1" applyBorder="1" applyAlignment="1">
      <alignment horizontal="center" vertical="center"/>
    </xf>
    <xf numFmtId="0" fontId="13" fillId="0" borderId="135" xfId="0" applyFont="1" applyBorder="1" applyAlignment="1">
      <alignment horizontal="center" vertical="center"/>
    </xf>
    <xf numFmtId="38" fontId="21" fillId="5" borderId="79" xfId="3" applyFont="1" applyFill="1" applyBorder="1" applyAlignment="1">
      <alignment vertical="center"/>
    </xf>
    <xf numFmtId="38" fontId="21" fillId="5" borderId="53" xfId="3" applyFont="1" applyFill="1" applyBorder="1" applyAlignment="1">
      <alignment vertical="center"/>
    </xf>
    <xf numFmtId="38" fontId="13" fillId="5" borderId="53" xfId="3" applyFont="1" applyFill="1" applyBorder="1" applyAlignment="1">
      <alignment vertical="center"/>
    </xf>
    <xf numFmtId="38" fontId="13" fillId="6" borderId="135" xfId="3" applyFont="1" applyFill="1" applyBorder="1" applyAlignment="1">
      <alignment vertical="center"/>
    </xf>
    <xf numFmtId="0" fontId="13" fillId="0" borderId="118" xfId="0" applyFont="1" applyFill="1" applyBorder="1" applyAlignment="1">
      <alignment horizontal="center" vertical="center"/>
    </xf>
    <xf numFmtId="0" fontId="13" fillId="0" borderId="60" xfId="0" applyFont="1" applyFill="1" applyBorder="1" applyAlignment="1">
      <alignment horizontal="center" vertical="center"/>
    </xf>
    <xf numFmtId="38" fontId="13" fillId="0" borderId="60" xfId="3" applyFont="1" applyFill="1" applyBorder="1" applyAlignment="1">
      <alignment horizontal="center" vertical="center"/>
    </xf>
    <xf numFmtId="0" fontId="13" fillId="0" borderId="136" xfId="0" applyFont="1" applyBorder="1" applyAlignment="1">
      <alignment horizontal="center" vertical="center"/>
    </xf>
    <xf numFmtId="38" fontId="21" fillId="5" borderId="73" xfId="3" applyFont="1" applyFill="1" applyBorder="1" applyAlignment="1">
      <alignment vertical="center"/>
    </xf>
    <xf numFmtId="38" fontId="21" fillId="5" borderId="74" xfId="3" applyFont="1" applyFill="1" applyBorder="1" applyAlignment="1">
      <alignment vertical="center"/>
    </xf>
    <xf numFmtId="38" fontId="13" fillId="5" borderId="74" xfId="3" applyFont="1" applyFill="1" applyBorder="1" applyAlignment="1">
      <alignment vertical="center"/>
    </xf>
    <xf numFmtId="38" fontId="13" fillId="6" borderId="136" xfId="3" applyFont="1" applyFill="1" applyBorder="1" applyAlignment="1">
      <alignment vertical="center"/>
    </xf>
    <xf numFmtId="38" fontId="13" fillId="0" borderId="0" xfId="0" applyNumberFormat="1" applyFont="1">
      <alignment vertical="center"/>
    </xf>
    <xf numFmtId="38" fontId="13" fillId="5" borderId="135" xfId="3" applyFont="1" applyFill="1" applyBorder="1" applyAlignment="1">
      <alignment vertical="center"/>
    </xf>
    <xf numFmtId="38" fontId="13" fillId="5" borderId="136" xfId="3" applyFont="1" applyFill="1" applyBorder="1" applyAlignment="1">
      <alignment vertical="center"/>
    </xf>
    <xf numFmtId="38" fontId="13" fillId="5" borderId="79" xfId="3" applyFont="1" applyFill="1" applyBorder="1" applyAlignment="1">
      <alignment vertical="center"/>
    </xf>
    <xf numFmtId="38" fontId="13" fillId="5" borderId="73" xfId="3" applyFont="1" applyFill="1" applyBorder="1" applyAlignment="1">
      <alignment vertical="center"/>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13" fillId="0" borderId="84" xfId="0" applyFont="1" applyBorder="1">
      <alignment vertical="center"/>
    </xf>
    <xf numFmtId="0" fontId="19" fillId="0" borderId="0" xfId="0" applyFont="1">
      <alignment vertical="center"/>
    </xf>
    <xf numFmtId="0" fontId="26" fillId="0" borderId="0" xfId="0" applyFont="1">
      <alignment vertical="center"/>
    </xf>
    <xf numFmtId="0" fontId="19" fillId="0" borderId="137" xfId="0" applyFont="1" applyBorder="1">
      <alignment vertical="center"/>
    </xf>
    <xf numFmtId="0" fontId="19" fillId="0" borderId="55" xfId="0" applyFont="1" applyBorder="1">
      <alignment vertical="center"/>
    </xf>
    <xf numFmtId="0" fontId="19" fillId="0" borderId="56" xfId="0" applyFont="1" applyBorder="1">
      <alignment vertical="center"/>
    </xf>
    <xf numFmtId="0" fontId="19" fillId="0" borderId="0" xfId="0" applyFont="1" applyBorder="1">
      <alignment vertical="center"/>
    </xf>
    <xf numFmtId="0" fontId="19" fillId="0" borderId="48" xfId="0" applyFont="1" applyBorder="1" applyAlignment="1">
      <alignment horizontal="right" vertical="center"/>
    </xf>
    <xf numFmtId="0" fontId="19" fillId="0" borderId="0" xfId="0" applyFont="1" applyBorder="1" applyAlignment="1">
      <alignment vertical="center"/>
    </xf>
    <xf numFmtId="0" fontId="19" fillId="0" borderId="138" xfId="0" applyFont="1" applyBorder="1">
      <alignment vertical="center"/>
    </xf>
    <xf numFmtId="0" fontId="19" fillId="0" borderId="48" xfId="0" applyFont="1" applyBorder="1" applyAlignment="1">
      <alignment vertical="center"/>
    </xf>
    <xf numFmtId="0" fontId="19" fillId="0" borderId="48" xfId="0" applyFont="1" applyBorder="1">
      <alignment vertical="center"/>
    </xf>
    <xf numFmtId="0" fontId="19" fillId="0" borderId="139" xfId="0" applyFont="1" applyFill="1" applyBorder="1" applyAlignment="1">
      <alignment horizontal="center" vertical="center"/>
    </xf>
    <xf numFmtId="0" fontId="19" fillId="0" borderId="140" xfId="0" applyFont="1" applyFill="1" applyBorder="1" applyAlignment="1">
      <alignment vertical="center" shrinkToFit="1"/>
    </xf>
    <xf numFmtId="0" fontId="19" fillId="0" borderId="141" xfId="0" applyFont="1" applyFill="1" applyBorder="1" applyAlignment="1">
      <alignment vertical="center" shrinkToFit="1"/>
    </xf>
    <xf numFmtId="0" fontId="19" fillId="0" borderId="142" xfId="0" applyFont="1" applyFill="1" applyBorder="1" applyAlignment="1">
      <alignment vertical="center" shrinkToFit="1"/>
    </xf>
    <xf numFmtId="0" fontId="19" fillId="0" borderId="0" xfId="0" applyFont="1" applyFill="1" applyBorder="1" applyAlignment="1">
      <alignment vertical="center" shrinkToFit="1"/>
    </xf>
    <xf numFmtId="0" fontId="19" fillId="5" borderId="140" xfId="0" applyFont="1" applyFill="1" applyBorder="1" applyAlignment="1">
      <alignment vertical="center" shrinkToFit="1"/>
    </xf>
    <xf numFmtId="0" fontId="19" fillId="5" borderId="141" xfId="0" applyFont="1" applyFill="1" applyBorder="1" applyAlignment="1">
      <alignment vertical="center" shrinkToFit="1"/>
    </xf>
    <xf numFmtId="0" fontId="19" fillId="5" borderId="142" xfId="0" applyFont="1" applyFill="1" applyBorder="1" applyAlignment="1">
      <alignment vertical="center" shrinkToFit="1"/>
    </xf>
    <xf numFmtId="0" fontId="13" fillId="0" borderId="104" xfId="0" applyFont="1" applyFill="1" applyBorder="1" applyAlignment="1">
      <alignment vertical="center" shrinkToFit="1"/>
    </xf>
    <xf numFmtId="0" fontId="19" fillId="0" borderId="143" xfId="0" applyFont="1" applyFill="1" applyBorder="1" applyAlignment="1">
      <alignment vertical="center" shrinkToFit="1"/>
    </xf>
    <xf numFmtId="0" fontId="19" fillId="0" borderId="0" xfId="0" applyFont="1" applyBorder="1" applyAlignment="1">
      <alignment horizontal="center" vertical="center"/>
    </xf>
    <xf numFmtId="0" fontId="19" fillId="0" borderId="104" xfId="0" applyFont="1" applyFill="1" applyBorder="1" applyAlignment="1">
      <alignment vertical="center" shrinkToFit="1"/>
    </xf>
    <xf numFmtId="0" fontId="19" fillId="0" borderId="48"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Alignment="1">
      <alignment vertical="center"/>
    </xf>
    <xf numFmtId="0" fontId="17" fillId="0" borderId="0" xfId="0" applyFont="1">
      <alignment vertical="center"/>
    </xf>
    <xf numFmtId="0" fontId="21" fillId="0" borderId="144" xfId="0" applyFont="1" applyFill="1" applyBorder="1" applyAlignment="1">
      <alignment horizontal="center" vertical="center"/>
    </xf>
    <xf numFmtId="178" fontId="21" fillId="5" borderId="104" xfId="0" applyNumberFormat="1" applyFont="1" applyFill="1" applyBorder="1">
      <alignment vertical="center"/>
    </xf>
    <xf numFmtId="178" fontId="21" fillId="5" borderId="145" xfId="0" applyNumberFormat="1" applyFont="1" applyFill="1" applyBorder="1">
      <alignment vertical="center"/>
    </xf>
    <xf numFmtId="178" fontId="21" fillId="5" borderId="98" xfId="0" quotePrefix="1" applyNumberFormat="1" applyFont="1" applyFill="1" applyBorder="1" applyAlignment="1">
      <alignment horizontal="right" vertical="center"/>
    </xf>
    <xf numFmtId="178" fontId="19" fillId="0" borderId="0" xfId="0" quotePrefix="1" applyNumberFormat="1" applyFont="1" applyFill="1" applyBorder="1" applyAlignment="1">
      <alignment horizontal="right" vertical="center"/>
    </xf>
    <xf numFmtId="0" fontId="19" fillId="0" borderId="144" xfId="0" applyFont="1" applyFill="1" applyBorder="1" applyAlignment="1">
      <alignment horizontal="center" vertical="center"/>
    </xf>
    <xf numFmtId="178" fontId="19" fillId="5" borderId="104" xfId="0" applyNumberFormat="1" applyFont="1" applyFill="1" applyBorder="1">
      <alignment vertical="center"/>
    </xf>
    <xf numFmtId="178" fontId="19" fillId="5" borderId="145" xfId="0" applyNumberFormat="1" applyFont="1" applyFill="1" applyBorder="1">
      <alignment vertical="center"/>
    </xf>
    <xf numFmtId="178" fontId="19" fillId="5" borderId="98" xfId="0" quotePrefix="1" applyNumberFormat="1" applyFont="1" applyFill="1" applyBorder="1" applyAlignment="1">
      <alignment horizontal="right" vertical="center"/>
    </xf>
    <xf numFmtId="0" fontId="13" fillId="0" borderId="104" xfId="0" applyFont="1" applyFill="1" applyBorder="1" applyAlignment="1">
      <alignment horizontal="center" vertical="center"/>
    </xf>
    <xf numFmtId="178" fontId="13" fillId="0" borderId="104" xfId="0" applyNumberFormat="1" applyFont="1" applyFill="1" applyBorder="1" applyAlignment="1">
      <alignment horizontal="center" vertical="center"/>
    </xf>
    <xf numFmtId="178" fontId="13" fillId="0" borderId="98" xfId="0" applyNumberFormat="1" applyFont="1" applyFill="1" applyBorder="1" applyAlignment="1">
      <alignment horizontal="center" vertical="center"/>
    </xf>
    <xf numFmtId="0" fontId="19" fillId="0" borderId="112" xfId="0" applyFont="1" applyBorder="1" applyAlignment="1">
      <alignment horizontal="right" vertical="center"/>
    </xf>
    <xf numFmtId="0" fontId="19" fillId="0" borderId="0" xfId="0" applyFont="1" applyBorder="1" applyAlignment="1">
      <alignment horizontal="right" vertical="center"/>
    </xf>
    <xf numFmtId="0" fontId="21" fillId="0" borderId="104" xfId="0" applyFont="1" applyFill="1" applyBorder="1" applyAlignment="1">
      <alignment horizontal="center" vertical="center"/>
    </xf>
    <xf numFmtId="0" fontId="21" fillId="0" borderId="104" xfId="0" applyFont="1" applyFill="1" applyBorder="1" applyAlignment="1">
      <alignment horizontal="center" vertical="center" shrinkToFit="1"/>
    </xf>
    <xf numFmtId="178" fontId="21" fillId="0" borderId="104" xfId="0" applyNumberFormat="1" applyFont="1" applyFill="1" applyBorder="1" applyAlignment="1">
      <alignment horizontal="center" vertical="center"/>
    </xf>
    <xf numFmtId="178" fontId="19" fillId="0" borderId="104" xfId="0" applyNumberFormat="1" applyFont="1" applyFill="1" applyBorder="1" applyAlignment="1">
      <alignment horizontal="center" vertical="center"/>
    </xf>
    <xf numFmtId="178" fontId="19" fillId="0" borderId="145" xfId="0" applyNumberFormat="1" applyFont="1" applyFill="1" applyBorder="1" applyAlignment="1">
      <alignment horizontal="center" vertical="center"/>
    </xf>
    <xf numFmtId="0" fontId="13" fillId="0" borderId="0" xfId="0" applyFont="1" applyBorder="1" applyAlignment="1">
      <alignment horizontal="left" vertical="center"/>
    </xf>
    <xf numFmtId="38" fontId="21" fillId="0" borderId="104" xfId="3" applyFont="1" applyFill="1" applyBorder="1" applyAlignment="1">
      <alignment vertical="center"/>
    </xf>
    <xf numFmtId="38" fontId="21" fillId="0" borderId="98" xfId="3" applyFont="1" applyFill="1" applyBorder="1" applyAlignment="1">
      <alignment vertical="center"/>
    </xf>
    <xf numFmtId="38" fontId="19" fillId="0" borderId="0" xfId="3" applyFont="1" applyFill="1" applyBorder="1" applyAlignment="1">
      <alignment vertical="center"/>
    </xf>
    <xf numFmtId="38" fontId="21" fillId="5" borderId="104" xfId="3" applyFont="1" applyFill="1" applyBorder="1" applyAlignment="1">
      <alignment vertical="center"/>
    </xf>
    <xf numFmtId="38" fontId="19" fillId="5" borderId="104" xfId="3" applyFont="1" applyFill="1" applyBorder="1" applyAlignment="1">
      <alignment vertical="center"/>
    </xf>
    <xf numFmtId="38" fontId="19" fillId="5" borderId="98" xfId="3" applyFont="1" applyFill="1" applyBorder="1" applyAlignment="1">
      <alignment vertical="center"/>
    </xf>
    <xf numFmtId="0" fontId="19" fillId="0" borderId="146" xfId="0" applyFont="1" applyFill="1" applyBorder="1" applyAlignment="1">
      <alignment horizontal="center" vertical="center" shrinkToFit="1"/>
    </xf>
    <xf numFmtId="38" fontId="13" fillId="0" borderId="104" xfId="3" applyFont="1" applyFill="1" applyBorder="1" applyAlignment="1">
      <alignment vertical="center"/>
    </xf>
    <xf numFmtId="38" fontId="13" fillId="0" borderId="98" xfId="3" applyFont="1" applyFill="1" applyBorder="1" applyAlignment="1">
      <alignment vertical="center"/>
    </xf>
    <xf numFmtId="38" fontId="13" fillId="0" borderId="120" xfId="0" applyNumberFormat="1" applyFont="1" applyBorder="1" applyAlignment="1">
      <alignment horizontal="right" vertical="center"/>
    </xf>
    <xf numFmtId="0" fontId="13" fillId="0" borderId="0" xfId="0" applyFont="1" applyBorder="1" applyAlignment="1">
      <alignment horizontal="right" vertical="center"/>
    </xf>
    <xf numFmtId="38" fontId="21" fillId="0" borderId="97" xfId="3" applyFont="1" applyFill="1" applyBorder="1">
      <alignment vertical="center"/>
    </xf>
    <xf numFmtId="38" fontId="19" fillId="0" borderId="97" xfId="3" applyFont="1" applyFill="1" applyBorder="1">
      <alignment vertical="center"/>
    </xf>
    <xf numFmtId="38" fontId="19" fillId="0" borderId="105" xfId="3" applyFont="1" applyFill="1" applyBorder="1">
      <alignment vertical="center"/>
    </xf>
    <xf numFmtId="38" fontId="19" fillId="0" borderId="147" xfId="3" applyFont="1" applyFill="1" applyBorder="1">
      <alignment vertical="center"/>
    </xf>
    <xf numFmtId="0" fontId="19" fillId="0" borderId="148" xfId="0" applyFont="1" applyFill="1" applyBorder="1" applyAlignment="1">
      <alignment horizontal="center" vertical="center" shrinkToFit="1"/>
    </xf>
    <xf numFmtId="0" fontId="13" fillId="0" borderId="127" xfId="0" applyFont="1" applyBorder="1" applyAlignment="1">
      <alignment horizontal="right" vertical="center"/>
    </xf>
    <xf numFmtId="0" fontId="19" fillId="0" borderId="149" xfId="0" applyFont="1" applyBorder="1">
      <alignment vertical="center"/>
    </xf>
    <xf numFmtId="0" fontId="19" fillId="0" borderId="150" xfId="0" applyFont="1" applyBorder="1">
      <alignment vertical="center"/>
    </xf>
    <xf numFmtId="0" fontId="19" fillId="0" borderId="150" xfId="0" applyFont="1" applyBorder="1" applyAlignment="1">
      <alignment horizontal="center" vertical="center"/>
    </xf>
    <xf numFmtId="0" fontId="19" fillId="0" borderId="151" xfId="0" applyFont="1" applyBorder="1">
      <alignment vertical="center"/>
    </xf>
    <xf numFmtId="0" fontId="19" fillId="0" borderId="150" xfId="0" quotePrefix="1" applyFont="1" applyBorder="1" applyAlignment="1">
      <alignment horizontal="right" vertical="center"/>
    </xf>
    <xf numFmtId="0" fontId="21" fillId="0" borderId="146" xfId="0" applyFont="1" applyFill="1" applyBorder="1" applyAlignment="1">
      <alignment horizontal="center" vertical="center"/>
    </xf>
    <xf numFmtId="38" fontId="21" fillId="0" borderId="97" xfId="3" applyFont="1" applyFill="1" applyBorder="1" applyAlignment="1">
      <alignment vertical="center"/>
    </xf>
    <xf numFmtId="38" fontId="21" fillId="0" borderId="105" xfId="3" applyFont="1" applyFill="1" applyBorder="1" applyAlignment="1">
      <alignment vertical="center"/>
    </xf>
    <xf numFmtId="0" fontId="19" fillId="0" borderId="146" xfId="0" applyFont="1" applyFill="1" applyBorder="1" applyAlignment="1">
      <alignment horizontal="center" vertical="center"/>
    </xf>
    <xf numFmtId="38" fontId="21" fillId="5" borderId="97" xfId="3" applyFont="1" applyFill="1" applyBorder="1" applyAlignment="1">
      <alignment vertical="center"/>
    </xf>
    <xf numFmtId="38" fontId="19" fillId="5" borderId="97" xfId="3" applyFont="1" applyFill="1" applyBorder="1" applyAlignment="1">
      <alignment vertical="center"/>
    </xf>
    <xf numFmtId="38" fontId="19" fillId="5" borderId="105" xfId="3" applyFont="1" applyFill="1" applyBorder="1" applyAlignment="1">
      <alignment vertical="center"/>
    </xf>
    <xf numFmtId="0" fontId="19" fillId="0" borderId="152" xfId="0" applyFont="1" applyFill="1" applyBorder="1" applyAlignment="1">
      <alignment horizontal="center" vertical="center" shrinkToFit="1"/>
    </xf>
    <xf numFmtId="38" fontId="13" fillId="0" borderId="109" xfId="3" applyFont="1" applyFill="1" applyBorder="1" applyAlignment="1">
      <alignment vertical="center"/>
    </xf>
    <xf numFmtId="38" fontId="13" fillId="0" borderId="153" xfId="3" applyFont="1" applyFill="1" applyBorder="1" applyAlignment="1">
      <alignment vertical="center"/>
    </xf>
    <xf numFmtId="0" fontId="13" fillId="0" borderId="126" xfId="0" applyFont="1" applyBorder="1" applyAlignment="1">
      <alignment horizontal="right" vertical="center"/>
    </xf>
    <xf numFmtId="0" fontId="21" fillId="5" borderId="140" xfId="0" applyFont="1" applyFill="1" applyBorder="1" applyAlignment="1">
      <alignment horizontal="center" vertical="center"/>
    </xf>
    <xf numFmtId="0" fontId="19" fillId="5" borderId="140" xfId="0" applyFont="1" applyFill="1" applyBorder="1" applyAlignment="1">
      <alignment horizontal="center" vertical="center"/>
    </xf>
    <xf numFmtId="0" fontId="19" fillId="5" borderId="142" xfId="0" applyFont="1" applyFill="1" applyBorder="1" applyAlignment="1">
      <alignment horizontal="center" vertical="center"/>
    </xf>
    <xf numFmtId="0" fontId="21" fillId="5" borderId="140" xfId="0" applyFont="1" applyFill="1" applyBorder="1">
      <alignment vertical="center"/>
    </xf>
    <xf numFmtId="0" fontId="19" fillId="5" borderId="140" xfId="0" applyFont="1" applyFill="1" applyBorder="1">
      <alignment vertical="center"/>
    </xf>
    <xf numFmtId="0" fontId="19" fillId="5" borderId="142" xfId="0" applyFont="1" applyFill="1" applyBorder="1">
      <alignment vertical="center"/>
    </xf>
    <xf numFmtId="0" fontId="13" fillId="0" borderId="0" xfId="0" quotePrefix="1" applyFont="1">
      <alignment vertical="center"/>
    </xf>
    <xf numFmtId="0" fontId="21" fillId="0" borderId="149" xfId="0" applyFont="1" applyFill="1" applyBorder="1" applyAlignment="1">
      <alignment vertical="center"/>
    </xf>
    <xf numFmtId="0" fontId="21" fillId="0" borderId="150" xfId="0" applyFont="1" applyBorder="1">
      <alignment vertical="center"/>
    </xf>
    <xf numFmtId="0" fontId="21" fillId="0" borderId="151" xfId="0" applyFont="1" applyBorder="1">
      <alignment vertical="center"/>
    </xf>
    <xf numFmtId="0" fontId="13" fillId="0" borderId="0" xfId="0" applyFont="1" applyFill="1" applyBorder="1" applyAlignment="1">
      <alignment vertical="center"/>
    </xf>
    <xf numFmtId="0" fontId="19" fillId="0" borderId="149" xfId="0" applyFont="1" applyFill="1" applyBorder="1" applyAlignment="1">
      <alignment vertical="center"/>
    </xf>
    <xf numFmtId="0" fontId="13" fillId="0" borderId="150" xfId="0" applyFont="1" applyBorder="1">
      <alignment vertical="center"/>
    </xf>
    <xf numFmtId="0" fontId="13" fillId="0" borderId="151" xfId="0" applyFont="1" applyBorder="1">
      <alignment vertical="center"/>
    </xf>
    <xf numFmtId="0" fontId="19" fillId="0" borderId="0" xfId="0" quotePrefix="1" applyFont="1">
      <alignment vertical="center"/>
    </xf>
    <xf numFmtId="0" fontId="19" fillId="0" borderId="154" xfId="0" applyFont="1" applyBorder="1" applyAlignment="1">
      <alignment horizontal="left" vertical="center"/>
    </xf>
    <xf numFmtId="0" fontId="13" fillId="0" borderId="155" xfId="0" applyFont="1" applyBorder="1" applyAlignment="1">
      <alignment horizontal="center" vertical="center"/>
    </xf>
    <xf numFmtId="0" fontId="13" fillId="0" borderId="155" xfId="0" applyFont="1" applyBorder="1" applyAlignment="1">
      <alignment vertical="center"/>
    </xf>
    <xf numFmtId="0" fontId="13" fillId="0" borderId="156" xfId="0" applyFont="1" applyBorder="1" applyAlignment="1">
      <alignment vertical="center"/>
    </xf>
    <xf numFmtId="0" fontId="13" fillId="0" borderId="48" xfId="0" applyFont="1" applyBorder="1" applyAlignment="1">
      <alignment horizontal="left" vertical="center"/>
    </xf>
    <xf numFmtId="0" fontId="19" fillId="0" borderId="149" xfId="0" applyFont="1" applyBorder="1" applyAlignment="1">
      <alignment horizontal="center" vertical="center"/>
    </xf>
    <xf numFmtId="0" fontId="19" fillId="0" borderId="150" xfId="0" applyFont="1" applyBorder="1" applyAlignment="1">
      <alignment vertical="center"/>
    </xf>
    <xf numFmtId="0" fontId="13" fillId="0" borderId="48" xfId="0" applyFont="1" applyBorder="1" applyAlignment="1">
      <alignment horizontal="right" vertical="center"/>
    </xf>
    <xf numFmtId="0" fontId="19" fillId="0" borderId="151" xfId="0" applyFont="1" applyBorder="1" applyAlignment="1">
      <alignment vertical="center"/>
    </xf>
    <xf numFmtId="0" fontId="21" fillId="5" borderId="104" xfId="0" applyFont="1" applyFill="1" applyBorder="1" applyAlignment="1">
      <alignment horizontal="center" vertical="center"/>
    </xf>
    <xf numFmtId="0" fontId="21" fillId="5" borderId="98" xfId="0" applyFont="1" applyFill="1" applyBorder="1" applyAlignment="1">
      <alignment horizontal="center" vertical="center"/>
    </xf>
    <xf numFmtId="0" fontId="19" fillId="5" borderId="104" xfId="0" applyFont="1" applyFill="1" applyBorder="1" applyAlignment="1">
      <alignment horizontal="center" vertical="center"/>
    </xf>
    <xf numFmtId="0" fontId="19" fillId="5" borderId="98" xfId="0" applyFont="1" applyFill="1" applyBorder="1" applyAlignment="1">
      <alignment horizontal="center" vertical="center"/>
    </xf>
    <xf numFmtId="0" fontId="13" fillId="0" borderId="145" xfId="0" applyFont="1" applyBorder="1" applyAlignment="1">
      <alignment horizontal="center" vertical="center"/>
    </xf>
    <xf numFmtId="0" fontId="13" fillId="0" borderId="150" xfId="0" applyFont="1" applyBorder="1" applyAlignment="1">
      <alignment vertical="center"/>
    </xf>
    <xf numFmtId="0" fontId="13" fillId="0" borderId="151" xfId="0" applyFont="1" applyBorder="1" applyAlignment="1">
      <alignment vertical="center"/>
    </xf>
    <xf numFmtId="0" fontId="21" fillId="5" borderId="16" xfId="0" applyFont="1" applyFill="1" applyBorder="1" applyAlignment="1">
      <alignment vertical="center"/>
    </xf>
    <xf numFmtId="0" fontId="19" fillId="5" borderId="16" xfId="0" applyFont="1" applyFill="1" applyBorder="1" applyAlignment="1">
      <alignment vertical="center"/>
    </xf>
    <xf numFmtId="0" fontId="19" fillId="5" borderId="49" xfId="0" applyFont="1" applyFill="1" applyBorder="1" applyAlignment="1">
      <alignment vertical="center"/>
    </xf>
    <xf numFmtId="38" fontId="21" fillId="0" borderId="97" xfId="3" applyFont="1" applyBorder="1" applyAlignment="1">
      <alignment horizontal="right" vertical="center"/>
    </xf>
    <xf numFmtId="38" fontId="19" fillId="0" borderId="97" xfId="3" applyFont="1" applyBorder="1" applyAlignment="1">
      <alignment horizontal="right" vertical="center"/>
    </xf>
    <xf numFmtId="0" fontId="19" fillId="0" borderId="97" xfId="0" applyFont="1" applyBorder="1" applyAlignment="1">
      <alignment horizontal="right" vertical="center"/>
    </xf>
    <xf numFmtId="0" fontId="19" fillId="0" borderId="147" xfId="0" applyFont="1" applyBorder="1" applyAlignment="1">
      <alignment horizontal="right" vertical="center"/>
    </xf>
    <xf numFmtId="0" fontId="13" fillId="0" borderId="139" xfId="0" applyFont="1" applyBorder="1" applyAlignment="1">
      <alignment horizontal="center" vertical="center"/>
    </xf>
    <xf numFmtId="0" fontId="19" fillId="0" borderId="140" xfId="0" applyFont="1" applyBorder="1" applyAlignment="1">
      <alignment horizontal="center" vertical="center"/>
    </xf>
    <xf numFmtId="0" fontId="19" fillId="0" borderId="142" xfId="0" applyFont="1" applyBorder="1" applyAlignment="1">
      <alignment horizontal="center" vertical="center"/>
    </xf>
    <xf numFmtId="0" fontId="21" fillId="0" borderId="149" xfId="0" applyFont="1" applyBorder="1" applyAlignment="1">
      <alignment horizontal="center" vertical="center"/>
    </xf>
    <xf numFmtId="0" fontId="21" fillId="0" borderId="150" xfId="0" applyFont="1" applyBorder="1" applyAlignment="1">
      <alignment horizontal="center" vertical="center"/>
    </xf>
    <xf numFmtId="0" fontId="21" fillId="0" borderId="151" xfId="0" applyFont="1" applyBorder="1" applyAlignment="1">
      <alignment horizontal="center" vertical="center"/>
    </xf>
    <xf numFmtId="0" fontId="13" fillId="0" borderId="150" xfId="0" applyFont="1" applyBorder="1" applyAlignment="1">
      <alignment horizontal="center" vertical="center"/>
    </xf>
    <xf numFmtId="0" fontId="13" fillId="0" borderId="151" xfId="0" applyFont="1" applyBorder="1" applyAlignment="1">
      <alignment horizontal="center" vertical="center"/>
    </xf>
    <xf numFmtId="0" fontId="19" fillId="0" borderId="0" xfId="0" applyFont="1" applyAlignment="1">
      <alignment horizontal="center" vertical="center"/>
    </xf>
    <xf numFmtId="0" fontId="21" fillId="0" borderId="146" xfId="0" applyFont="1" applyBorder="1" applyAlignment="1">
      <alignment horizontal="center" vertical="center" shrinkToFit="1"/>
    </xf>
    <xf numFmtId="38" fontId="21" fillId="0" borderId="97" xfId="3" applyFont="1" applyFill="1" applyBorder="1" applyAlignment="1">
      <alignment horizontal="right" vertical="center" indent="1"/>
    </xf>
    <xf numFmtId="38" fontId="21" fillId="0" borderId="105" xfId="3" applyFont="1" applyFill="1" applyBorder="1" applyAlignment="1">
      <alignment horizontal="right" vertical="center" indent="1"/>
    </xf>
    <xf numFmtId="38" fontId="19" fillId="0" borderId="0" xfId="3" applyFont="1" applyFill="1" applyBorder="1" applyAlignment="1">
      <alignment horizontal="right" vertical="center" indent="1"/>
    </xf>
    <xf numFmtId="0" fontId="25" fillId="0" borderId="146" xfId="0" applyFont="1" applyBorder="1" applyAlignment="1">
      <alignment horizontal="center" vertical="center" wrapText="1"/>
    </xf>
    <xf numFmtId="38" fontId="19" fillId="0" borderId="97" xfId="3" applyFont="1" applyFill="1" applyBorder="1" applyAlignment="1">
      <alignment horizontal="right" vertical="center" indent="1"/>
    </xf>
    <xf numFmtId="38" fontId="19" fillId="0" borderId="105" xfId="3" applyFont="1" applyFill="1" applyBorder="1" applyAlignment="1">
      <alignment horizontal="right" vertical="center" indent="1"/>
    </xf>
    <xf numFmtId="0" fontId="21" fillId="5" borderId="104" xfId="0" applyFont="1" applyFill="1" applyBorder="1">
      <alignment vertical="center"/>
    </xf>
    <xf numFmtId="0" fontId="19" fillId="5" borderId="104" xfId="0" applyFont="1" applyFill="1" applyBorder="1">
      <alignment vertical="center"/>
    </xf>
    <xf numFmtId="0" fontId="19" fillId="5" borderId="145" xfId="0" applyFont="1" applyFill="1" applyBorder="1">
      <alignment vertical="center"/>
    </xf>
    <xf numFmtId="0" fontId="19" fillId="0" borderId="148" xfId="0" applyFont="1" applyBorder="1" applyAlignment="1">
      <alignment horizontal="center" vertical="center" wrapText="1"/>
    </xf>
    <xf numFmtId="0" fontId="13" fillId="5" borderId="16" xfId="0" applyFont="1" applyFill="1" applyBorder="1" applyAlignment="1">
      <alignment vertical="center"/>
    </xf>
    <xf numFmtId="0" fontId="13" fillId="5" borderId="16" xfId="0" applyFont="1" applyFill="1" applyBorder="1" applyAlignment="1">
      <alignment horizontal="center" vertical="center"/>
    </xf>
    <xf numFmtId="0" fontId="13" fillId="5" borderId="49" xfId="0" applyFont="1" applyFill="1" applyBorder="1" applyAlignment="1">
      <alignment vertical="center"/>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19" fillId="0" borderId="157" xfId="0" applyFont="1" applyBorder="1" applyAlignment="1">
      <alignment horizontal="center" vertical="center"/>
    </xf>
    <xf numFmtId="0" fontId="13" fillId="0" borderId="144" xfId="0" applyFont="1" applyBorder="1" applyAlignment="1">
      <alignment horizontal="center" vertical="center" wrapText="1"/>
    </xf>
    <xf numFmtId="38" fontId="13" fillId="0" borderId="145" xfId="3" applyFont="1" applyFill="1" applyBorder="1" applyAlignment="1">
      <alignment horizontal="center" vertical="center"/>
    </xf>
    <xf numFmtId="38" fontId="13" fillId="0" borderId="98" xfId="3" applyFont="1" applyFill="1" applyBorder="1" applyAlignment="1">
      <alignment horizontal="center" vertical="center"/>
    </xf>
    <xf numFmtId="38" fontId="13" fillId="0" borderId="0" xfId="3" applyFont="1" applyFill="1" applyBorder="1" applyAlignment="1">
      <alignment horizontal="center" vertical="center"/>
    </xf>
    <xf numFmtId="38" fontId="13" fillId="0" borderId="0" xfId="3" applyFont="1" applyFill="1" applyBorder="1" applyAlignment="1">
      <alignment vertical="center"/>
    </xf>
    <xf numFmtId="0" fontId="13" fillId="0" borderId="112" xfId="0" applyFont="1" applyBorder="1" applyAlignment="1">
      <alignment horizontal="right" vertical="center"/>
    </xf>
    <xf numFmtId="0" fontId="19" fillId="0" borderId="149" xfId="0" applyFont="1" applyBorder="1" applyAlignment="1">
      <alignment horizontal="center" vertical="center" wrapText="1"/>
    </xf>
    <xf numFmtId="0" fontId="19" fillId="0" borderId="158" xfId="0" applyFont="1" applyBorder="1" applyAlignment="1">
      <alignment horizontal="center" vertical="center"/>
    </xf>
    <xf numFmtId="0" fontId="19" fillId="0" borderId="104" xfId="0" applyFont="1" applyBorder="1" applyAlignment="1">
      <alignment horizontal="center" vertical="center"/>
    </xf>
    <xf numFmtId="0" fontId="19" fillId="0" borderId="159" xfId="0" applyFont="1" applyBorder="1" applyAlignment="1">
      <alignment horizontal="center" vertical="center"/>
    </xf>
    <xf numFmtId="0" fontId="13" fillId="0" borderId="160" xfId="0" applyFont="1" applyBorder="1" applyAlignment="1">
      <alignment horizontal="left" vertical="top" wrapText="1"/>
    </xf>
    <xf numFmtId="0" fontId="13" fillId="0" borderId="160" xfId="0" applyFont="1" applyBorder="1" applyAlignment="1">
      <alignment vertical="center"/>
    </xf>
    <xf numFmtId="0" fontId="13" fillId="0" borderId="107" xfId="0" applyFont="1" applyBorder="1" applyAlignment="1">
      <alignment vertical="center"/>
    </xf>
    <xf numFmtId="0" fontId="25" fillId="0" borderId="0" xfId="0" applyFont="1" applyBorder="1" applyAlignment="1">
      <alignment vertical="top" wrapText="1"/>
    </xf>
    <xf numFmtId="38" fontId="19" fillId="0" borderId="0" xfId="3" applyFont="1" applyBorder="1">
      <alignment vertical="center"/>
    </xf>
    <xf numFmtId="0" fontId="19" fillId="0" borderId="161" xfId="0" applyFont="1" applyBorder="1" applyAlignment="1">
      <alignment horizontal="center" vertical="center"/>
    </xf>
    <xf numFmtId="38" fontId="21" fillId="0" borderId="109" xfId="3" applyFont="1" applyBorder="1">
      <alignment vertical="center"/>
    </xf>
    <xf numFmtId="38" fontId="19" fillId="0" borderId="109" xfId="3" applyFont="1" applyBorder="1">
      <alignment vertical="center"/>
    </xf>
    <xf numFmtId="38" fontId="19" fillId="0" borderId="162" xfId="3" applyFont="1" applyBorder="1">
      <alignment vertical="center"/>
    </xf>
    <xf numFmtId="38" fontId="19" fillId="0" borderId="117" xfId="3" applyFont="1" applyBorder="1">
      <alignment vertical="center"/>
    </xf>
    <xf numFmtId="0" fontId="19" fillId="0" borderId="161" xfId="0" applyFont="1" applyBorder="1" applyAlignment="1">
      <alignment horizontal="center" vertical="center" shrinkToFit="1"/>
    </xf>
    <xf numFmtId="38" fontId="21" fillId="0" borderId="126" xfId="3" applyFont="1" applyBorder="1">
      <alignment vertical="center"/>
    </xf>
    <xf numFmtId="38" fontId="19" fillId="0" borderId="153" xfId="3" applyFont="1" applyBorder="1">
      <alignment vertical="center"/>
    </xf>
    <xf numFmtId="38" fontId="19" fillId="0" borderId="126" xfId="3" applyFont="1" applyBorder="1">
      <alignment vertical="center"/>
    </xf>
    <xf numFmtId="38" fontId="19" fillId="0" borderId="163" xfId="3" applyFont="1" applyBorder="1">
      <alignment vertical="center"/>
    </xf>
    <xf numFmtId="38" fontId="19" fillId="0" borderId="164" xfId="3" applyFont="1" applyBorder="1">
      <alignment vertical="center"/>
    </xf>
    <xf numFmtId="38" fontId="19" fillId="0" borderId="165" xfId="3" applyFont="1" applyBorder="1">
      <alignment vertical="center"/>
    </xf>
    <xf numFmtId="0" fontId="13" fillId="0" borderId="148" xfId="0" applyFont="1" applyBorder="1" applyAlignment="1">
      <alignment horizontal="center" vertical="center"/>
    </xf>
    <xf numFmtId="0" fontId="13" fillId="0" borderId="128" xfId="0" applyFont="1" applyBorder="1" applyAlignment="1">
      <alignment vertical="center"/>
    </xf>
    <xf numFmtId="0" fontId="19" fillId="0" borderId="42" xfId="0" applyFont="1" applyBorder="1" applyAlignment="1">
      <alignment horizontal="center" vertical="center"/>
    </xf>
    <xf numFmtId="38" fontId="21" fillId="5" borderId="55" xfId="3" applyFont="1" applyFill="1" applyBorder="1">
      <alignment vertical="center"/>
    </xf>
    <xf numFmtId="38" fontId="19" fillId="5" borderId="55" xfId="3" applyFont="1" applyFill="1" applyBorder="1">
      <alignment vertical="center"/>
    </xf>
    <xf numFmtId="0" fontId="19" fillId="5" borderId="56" xfId="0" applyFont="1" applyFill="1" applyBorder="1">
      <alignment vertical="center"/>
    </xf>
    <xf numFmtId="38" fontId="19" fillId="5" borderId="56" xfId="3" applyFont="1" applyFill="1" applyBorder="1">
      <alignment vertical="center"/>
    </xf>
    <xf numFmtId="0" fontId="13" fillId="0" borderId="152" xfId="0" applyFont="1" applyBorder="1" applyAlignment="1">
      <alignment horizontal="center" vertical="center"/>
    </xf>
    <xf numFmtId="0" fontId="13" fillId="0" borderId="113" xfId="0" applyFont="1" applyBorder="1" applyAlignment="1">
      <alignment vertical="center"/>
    </xf>
    <xf numFmtId="0" fontId="13" fillId="0" borderId="86" xfId="0" applyFont="1" applyBorder="1" applyAlignment="1">
      <alignment vertical="center"/>
    </xf>
    <xf numFmtId="0" fontId="13" fillId="0" borderId="48" xfId="0" applyFont="1" applyBorder="1" applyAlignment="1">
      <alignment horizontal="center" vertical="center"/>
    </xf>
    <xf numFmtId="38" fontId="19" fillId="0" borderId="16" xfId="3" applyFont="1" applyBorder="1" applyAlignment="1">
      <alignment horizontal="center" vertical="center"/>
    </xf>
    <xf numFmtId="38" fontId="19" fillId="0" borderId="128" xfId="3" applyFont="1" applyBorder="1" applyAlignment="1">
      <alignment horizontal="center" vertical="center"/>
    </xf>
    <xf numFmtId="38" fontId="19" fillId="0" borderId="49" xfId="3" applyFont="1" applyBorder="1" applyAlignment="1">
      <alignment horizontal="center" vertical="center"/>
    </xf>
    <xf numFmtId="0" fontId="25" fillId="0" borderId="0" xfId="0" applyFont="1" applyBorder="1" applyAlignment="1">
      <alignment horizontal="left" vertical="top" wrapText="1"/>
    </xf>
    <xf numFmtId="0" fontId="13" fillId="0" borderId="112" xfId="0" applyFont="1" applyBorder="1" applyAlignment="1">
      <alignment horizontal="center" vertical="center"/>
    </xf>
    <xf numFmtId="38" fontId="21" fillId="5" borderId="76" xfId="3" applyFont="1" applyFill="1" applyBorder="1">
      <alignment vertical="center"/>
    </xf>
    <xf numFmtId="38" fontId="19" fillId="5" borderId="76" xfId="3" applyFont="1" applyFill="1" applyBorder="1">
      <alignment vertical="center"/>
    </xf>
    <xf numFmtId="0" fontId="19" fillId="5" borderId="86" xfId="0" applyFont="1" applyFill="1" applyBorder="1">
      <alignment vertical="center"/>
    </xf>
    <xf numFmtId="38" fontId="19" fillId="5" borderId="77" xfId="3" applyFont="1" applyFill="1" applyBorder="1">
      <alignment vertical="center"/>
    </xf>
    <xf numFmtId="0" fontId="27" fillId="0" borderId="0" xfId="0" applyFont="1">
      <alignment vertical="center"/>
    </xf>
    <xf numFmtId="0" fontId="13" fillId="0" borderId="114" xfId="0" applyFont="1" applyBorder="1" applyAlignment="1">
      <alignment horizontal="center" vertical="center"/>
    </xf>
    <xf numFmtId="0" fontId="13" fillId="0" borderId="44" xfId="0" applyFont="1" applyBorder="1" applyAlignment="1">
      <alignment vertical="center"/>
    </xf>
    <xf numFmtId="0" fontId="13" fillId="0" borderId="115" xfId="0" applyFont="1" applyBorder="1" applyAlignment="1">
      <alignment vertical="center"/>
    </xf>
    <xf numFmtId="0" fontId="13" fillId="0" borderId="52" xfId="0" applyFont="1" applyBorder="1">
      <alignment vertical="center"/>
    </xf>
    <xf numFmtId="0" fontId="13" fillId="0" borderId="124" xfId="0" applyFont="1" applyBorder="1" applyAlignment="1">
      <alignment horizontal="center" vertical="center"/>
    </xf>
    <xf numFmtId="0" fontId="13" fillId="0" borderId="3" xfId="0" applyFont="1" applyBorder="1" applyAlignment="1">
      <alignment vertical="center"/>
    </xf>
    <xf numFmtId="0" fontId="13" fillId="0" borderId="166" xfId="0" applyFont="1" applyBorder="1" applyAlignment="1">
      <alignment vertical="center"/>
    </xf>
    <xf numFmtId="0" fontId="13" fillId="0" borderId="60" xfId="0" applyFont="1" applyBorder="1">
      <alignment vertical="center"/>
    </xf>
    <xf numFmtId="38" fontId="13" fillId="0" borderId="42" xfId="3" applyFont="1" applyBorder="1" applyAlignment="1">
      <alignment horizontal="left" vertical="center" wrapText="1"/>
    </xf>
    <xf numFmtId="38" fontId="13" fillId="0" borderId="43" xfId="3" applyFont="1" applyBorder="1" applyAlignment="1">
      <alignment horizontal="left" vertical="center"/>
    </xf>
    <xf numFmtId="38" fontId="13" fillId="0" borderId="116" xfId="3" applyFont="1" applyBorder="1" applyAlignment="1">
      <alignment horizontal="left" vertical="center"/>
    </xf>
    <xf numFmtId="38" fontId="13" fillId="0" borderId="79" xfId="3" applyFont="1" applyBorder="1">
      <alignment vertical="center"/>
    </xf>
    <xf numFmtId="38" fontId="13" fillId="0" borderId="53" xfId="3" applyFont="1" applyBorder="1">
      <alignment vertical="center"/>
    </xf>
    <xf numFmtId="38" fontId="13" fillId="0" borderId="135" xfId="3" applyFont="1" applyBorder="1">
      <alignment vertical="center"/>
    </xf>
    <xf numFmtId="0" fontId="28" fillId="0" borderId="2"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8" xfId="0" applyFont="1" applyFill="1" applyBorder="1" applyAlignment="1">
      <alignment horizontal="center" vertical="center"/>
    </xf>
    <xf numFmtId="38" fontId="13" fillId="0" borderId="128" xfId="3" applyFont="1" applyBorder="1">
      <alignment vertical="center"/>
    </xf>
    <xf numFmtId="38" fontId="13" fillId="0" borderId="71" xfId="3" applyFont="1" applyBorder="1" applyAlignment="1">
      <alignment horizontal="center" vertical="center" wrapText="1"/>
    </xf>
    <xf numFmtId="38" fontId="13" fillId="0" borderId="59" xfId="3" applyFont="1" applyBorder="1" applyAlignment="1">
      <alignment vertical="center" wrapText="1"/>
    </xf>
    <xf numFmtId="38" fontId="13" fillId="0" borderId="167" xfId="3" applyFont="1" applyBorder="1" applyAlignment="1">
      <alignment vertical="center"/>
    </xf>
    <xf numFmtId="38" fontId="13" fillId="0" borderId="168" xfId="3" applyFont="1" applyBorder="1" applyAlignment="1">
      <alignment vertical="center"/>
    </xf>
    <xf numFmtId="38" fontId="13" fillId="0" borderId="118" xfId="3" applyFont="1" applyBorder="1">
      <alignment vertical="center"/>
    </xf>
    <xf numFmtId="38" fontId="13" fillId="0" borderId="61" xfId="3" applyFont="1" applyBorder="1">
      <alignment vertical="center"/>
    </xf>
    <xf numFmtId="38" fontId="13" fillId="0" borderId="119" xfId="3" applyFont="1" applyBorder="1">
      <alignment vertical="center"/>
    </xf>
    <xf numFmtId="0" fontId="28" fillId="0" borderId="12"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5" xfId="0" applyFont="1" applyFill="1" applyBorder="1" applyAlignment="1">
      <alignment horizontal="center" vertical="center"/>
    </xf>
    <xf numFmtId="0" fontId="19" fillId="0" borderId="114" xfId="0" applyFont="1" applyBorder="1" applyAlignment="1">
      <alignment horizontal="center" vertical="center" shrinkToFit="1"/>
    </xf>
    <xf numFmtId="0" fontId="13" fillId="0" borderId="52" xfId="0" applyFont="1" applyBorder="1" applyAlignment="1">
      <alignment horizontal="center" vertical="center"/>
    </xf>
    <xf numFmtId="0" fontId="13" fillId="0" borderId="44" xfId="0" applyFont="1" applyBorder="1" applyAlignment="1">
      <alignment horizontal="center" vertical="center" shrinkToFit="1"/>
    </xf>
    <xf numFmtId="38" fontId="13" fillId="5" borderId="114" xfId="3" applyFont="1" applyFill="1" applyBorder="1" applyAlignment="1">
      <alignment vertical="center"/>
    </xf>
    <xf numFmtId="38" fontId="13" fillId="5" borderId="44" xfId="3" applyFont="1" applyFill="1" applyBorder="1" applyAlignment="1">
      <alignment vertical="center"/>
    </xf>
    <xf numFmtId="38" fontId="13" fillId="5" borderId="115" xfId="3" applyFont="1" applyFill="1" applyBorder="1" applyAlignment="1">
      <alignment vertical="center"/>
    </xf>
    <xf numFmtId="0" fontId="28" fillId="0" borderId="29"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33" xfId="0" applyFont="1" applyFill="1" applyBorder="1" applyAlignment="1">
      <alignment horizontal="center" vertical="center"/>
    </xf>
    <xf numFmtId="0" fontId="13" fillId="0" borderId="128" xfId="0" applyFont="1" applyBorder="1">
      <alignment vertical="center"/>
    </xf>
    <xf numFmtId="38" fontId="13" fillId="5" borderId="118" xfId="3" applyFont="1" applyFill="1" applyBorder="1" applyAlignment="1">
      <alignment vertical="center"/>
    </xf>
    <xf numFmtId="38" fontId="13" fillId="5" borderId="61" xfId="3" applyFont="1" applyFill="1" applyBorder="1" applyAlignment="1">
      <alignment vertical="center"/>
    </xf>
    <xf numFmtId="38" fontId="13" fillId="5" borderId="119" xfId="3" applyFont="1" applyFill="1" applyBorder="1" applyAlignment="1">
      <alignment vertical="center"/>
    </xf>
    <xf numFmtId="0" fontId="28" fillId="0" borderId="169" xfId="0" applyFont="1" applyFill="1" applyBorder="1" applyAlignment="1">
      <alignment horizontal="center" vertical="center"/>
    </xf>
    <xf numFmtId="0" fontId="28" fillId="0" borderId="170" xfId="0" applyFont="1" applyFill="1" applyBorder="1" applyAlignment="1">
      <alignment horizontal="center" vertical="center"/>
    </xf>
    <xf numFmtId="0" fontId="28" fillId="0" borderId="101" xfId="0" applyFont="1" applyFill="1" applyBorder="1" applyAlignment="1">
      <alignment horizontal="center" vertical="center"/>
    </xf>
    <xf numFmtId="0" fontId="28" fillId="0" borderId="171" xfId="0" applyFont="1" applyFill="1" applyBorder="1" applyAlignment="1">
      <alignment horizontal="center" vertical="center"/>
    </xf>
    <xf numFmtId="0" fontId="13" fillId="0" borderId="78" xfId="0" applyFont="1" applyBorder="1" applyAlignment="1">
      <alignment horizontal="center" vertical="center"/>
    </xf>
    <xf numFmtId="0" fontId="28" fillId="0" borderId="172" xfId="0" applyFont="1" applyFill="1" applyBorder="1" applyAlignment="1">
      <alignment horizontal="center" vertical="center"/>
    </xf>
    <xf numFmtId="0" fontId="28" fillId="0" borderId="173" xfId="0" applyFont="1" applyFill="1" applyBorder="1" applyAlignment="1">
      <alignment horizontal="center" vertical="center"/>
    </xf>
    <xf numFmtId="0" fontId="28" fillId="0" borderId="164" xfId="0" applyFont="1" applyFill="1" applyBorder="1" applyAlignment="1">
      <alignment horizontal="center" vertical="center"/>
    </xf>
    <xf numFmtId="0" fontId="28" fillId="0" borderId="174" xfId="0" applyFont="1" applyFill="1" applyBorder="1" applyAlignment="1">
      <alignment horizontal="center" vertical="center"/>
    </xf>
    <xf numFmtId="0" fontId="13" fillId="0" borderId="72" xfId="0" applyFont="1" applyBorder="1" applyAlignment="1">
      <alignment horizontal="center" vertical="center"/>
    </xf>
    <xf numFmtId="0" fontId="13" fillId="0" borderId="0" xfId="0" applyFont="1" applyAlignment="1">
      <alignment horizontal="center" vertical="center"/>
    </xf>
    <xf numFmtId="0" fontId="13" fillId="0" borderId="61" xfId="0" applyFont="1" applyBorder="1" applyAlignment="1">
      <alignment horizontal="center" vertical="center"/>
    </xf>
    <xf numFmtId="0" fontId="13" fillId="0" borderId="61" xfId="0" applyFont="1" applyBorder="1" applyAlignment="1">
      <alignment horizontal="right" vertical="center"/>
    </xf>
    <xf numFmtId="0" fontId="1" fillId="0" borderId="0" xfId="2">
      <alignment vertical="center"/>
    </xf>
    <xf numFmtId="0" fontId="29" fillId="0" borderId="0" xfId="2" applyFont="1">
      <alignment vertical="center"/>
    </xf>
    <xf numFmtId="0" fontId="1" fillId="0" borderId="175" xfId="2" applyBorder="1">
      <alignment vertical="center"/>
    </xf>
    <xf numFmtId="0" fontId="0" fillId="0" borderId="0" xfId="0" applyAlignment="1">
      <alignment vertical="center"/>
    </xf>
    <xf numFmtId="0" fontId="29" fillId="0" borderId="4" xfId="2" applyFont="1" applyBorder="1" applyAlignment="1">
      <alignment vertical="top" wrapText="1"/>
    </xf>
    <xf numFmtId="0" fontId="30" fillId="0" borderId="5" xfId="0" applyFont="1" applyBorder="1" applyAlignment="1">
      <alignment vertical="top"/>
    </xf>
    <xf numFmtId="0" fontId="30" fillId="0" borderId="8" xfId="0" applyFont="1" applyBorder="1" applyAlignment="1">
      <alignment vertical="top"/>
    </xf>
    <xf numFmtId="38" fontId="1" fillId="0" borderId="2" xfId="2" applyNumberFormat="1" applyBorder="1">
      <alignment vertical="center"/>
    </xf>
    <xf numFmtId="38" fontId="25" fillId="0" borderId="93" xfId="3" applyFont="1" applyBorder="1" applyAlignment="1">
      <alignment horizontal="left" vertical="top" wrapText="1"/>
    </xf>
    <xf numFmtId="0" fontId="25" fillId="0" borderId="176" xfId="0" applyFont="1" applyBorder="1" applyAlignment="1">
      <alignment horizontal="left" vertical="top" wrapText="1"/>
    </xf>
    <xf numFmtId="0" fontId="30" fillId="0" borderId="94" xfId="0" applyFont="1" applyBorder="1" applyAlignment="1">
      <alignment vertical="top"/>
    </xf>
    <xf numFmtId="0" fontId="1" fillId="0" borderId="2" xfId="2" applyBorder="1">
      <alignment vertical="center"/>
    </xf>
    <xf numFmtId="0" fontId="29" fillId="0" borderId="177" xfId="2" applyFont="1" applyBorder="1" applyAlignment="1">
      <alignment vertical="top" wrapText="1"/>
    </xf>
    <xf numFmtId="0" fontId="30" fillId="0" borderId="178" xfId="0" applyFont="1" applyBorder="1" applyAlignment="1">
      <alignment vertical="top"/>
    </xf>
    <xf numFmtId="0" fontId="30" fillId="0" borderId="179" xfId="0" applyFont="1" applyBorder="1" applyAlignment="1">
      <alignment vertical="top"/>
    </xf>
    <xf numFmtId="0" fontId="1" fillId="0" borderId="38" xfId="2" applyBorder="1">
      <alignment vertical="center"/>
    </xf>
    <xf numFmtId="38" fontId="1" fillId="0" borderId="38" xfId="2" applyNumberFormat="1" applyBorder="1">
      <alignment vertical="center"/>
    </xf>
    <xf numFmtId="0" fontId="5" fillId="0" borderId="0" xfId="2" applyFont="1">
      <alignment vertical="center"/>
    </xf>
    <xf numFmtId="0" fontId="29" fillId="0" borderId="12" xfId="2" applyFont="1" applyBorder="1" applyAlignment="1">
      <alignment vertical="center"/>
    </xf>
    <xf numFmtId="38" fontId="25" fillId="0" borderId="180" xfId="3" applyFont="1" applyBorder="1" applyAlignment="1">
      <alignment horizontal="left" vertical="top" wrapText="1"/>
    </xf>
    <xf numFmtId="0" fontId="25" fillId="0" borderId="181" xfId="0" applyFont="1" applyBorder="1" applyAlignment="1">
      <alignment horizontal="left" vertical="top"/>
    </xf>
    <xf numFmtId="0" fontId="1" fillId="0" borderId="11" xfId="2" applyBorder="1">
      <alignment vertical="center"/>
    </xf>
    <xf numFmtId="38" fontId="1" fillId="0" borderId="11" xfId="2" applyNumberFormat="1" applyBorder="1">
      <alignment vertical="center"/>
    </xf>
    <xf numFmtId="49" fontId="25" fillId="0" borderId="93" xfId="3" applyNumberFormat="1" applyFont="1" applyBorder="1" applyAlignment="1">
      <alignment horizontal="left" vertical="top" wrapText="1"/>
    </xf>
    <xf numFmtId="0" fontId="30" fillId="0" borderId="94" xfId="0" applyFont="1" applyBorder="1" applyAlignment="1">
      <alignment vertical="center" wrapText="1"/>
    </xf>
    <xf numFmtId="0" fontId="29" fillId="0" borderId="29" xfId="2" applyFont="1" applyBorder="1" applyAlignment="1">
      <alignment vertical="center"/>
    </xf>
    <xf numFmtId="38" fontId="25" fillId="0" borderId="4" xfId="3" applyFont="1" applyBorder="1" applyAlignment="1">
      <alignment horizontal="left" vertical="top" wrapText="1"/>
    </xf>
    <xf numFmtId="0" fontId="30" fillId="0" borderId="5" xfId="0" applyFont="1" applyBorder="1" applyAlignment="1">
      <alignment vertical="center"/>
    </xf>
    <xf numFmtId="0" fontId="30" fillId="0" borderId="8" xfId="0" applyFont="1" applyBorder="1" applyAlignment="1">
      <alignment vertical="center"/>
    </xf>
    <xf numFmtId="0" fontId="1" fillId="0" borderId="15" xfId="2" applyBorder="1">
      <alignment vertical="center"/>
    </xf>
    <xf numFmtId="0" fontId="31" fillId="0" borderId="11" xfId="2" applyFont="1" applyBorder="1">
      <alignment vertical="center"/>
    </xf>
    <xf numFmtId="0" fontId="25" fillId="0" borderId="93" xfId="0" applyFont="1" applyBorder="1" applyAlignment="1">
      <alignment horizontal="left" vertical="top" wrapText="1"/>
    </xf>
    <xf numFmtId="0" fontId="30" fillId="0" borderId="176" xfId="0" applyFont="1" applyBorder="1" applyAlignment="1">
      <alignment vertical="center"/>
    </xf>
    <xf numFmtId="0" fontId="30" fillId="0" borderId="94" xfId="0" applyFont="1" applyBorder="1" applyAlignment="1">
      <alignment vertical="center"/>
    </xf>
    <xf numFmtId="38" fontId="1" fillId="0" borderId="15" xfId="2" applyNumberFormat="1" applyBorder="1">
      <alignment vertical="center"/>
    </xf>
    <xf numFmtId="0" fontId="25" fillId="0" borderId="12" xfId="0" applyFont="1" applyBorder="1" applyAlignment="1">
      <alignment horizontal="left" vertical="top" wrapText="1"/>
    </xf>
    <xf numFmtId="0" fontId="0" fillId="0" borderId="15" xfId="0" applyBorder="1" applyAlignment="1">
      <alignment vertical="center"/>
    </xf>
    <xf numFmtId="38" fontId="25" fillId="0" borderId="182" xfId="3" applyFont="1" applyBorder="1" applyAlignment="1">
      <alignment horizontal="left" vertical="top" wrapText="1"/>
    </xf>
    <xf numFmtId="0" fontId="25" fillId="0" borderId="180" xfId="0" applyFont="1" applyBorder="1" applyAlignment="1">
      <alignment horizontal="left" vertical="top" wrapText="1"/>
    </xf>
    <xf numFmtId="0" fontId="25" fillId="0" borderId="181" xfId="0" applyFont="1" applyBorder="1" applyAlignment="1">
      <alignment horizontal="left" vertical="top" wrapText="1"/>
    </xf>
    <xf numFmtId="0" fontId="1" fillId="0" borderId="23" xfId="2" applyBorder="1">
      <alignment vertical="center"/>
    </xf>
    <xf numFmtId="38" fontId="1" fillId="0" borderId="23" xfId="2" applyNumberFormat="1" applyBorder="1">
      <alignment vertical="center"/>
    </xf>
    <xf numFmtId="0" fontId="1" fillId="0" borderId="183" xfId="2" applyBorder="1">
      <alignment vertical="center"/>
    </xf>
  </cellXfs>
  <cellStyles count="4">
    <cellStyle name="標準" xfId="0" builtinId="0"/>
    <cellStyle name="標準_Book2" xfId="1"/>
    <cellStyle name="標準_中山間交付金細目書（案）" xfId="2"/>
    <cellStyle name="桁区切り" xfId="3" builtinId="6"/>
  </cellStyles>
  <dxfs count="13">
    <dxf>
      <fill>
        <patternFill patternType="solid">
          <bgColor indexed="10"/>
        </patternFill>
      </fill>
    </dxf>
    <dxf>
      <fill>
        <patternFill patternType="solid">
          <bgColor indexed="10"/>
        </patternFill>
      </fill>
    </dxf>
    <dxf>
      <fill>
        <patternFill patternType="solid">
          <bgColor indexed="41"/>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10</xdr:col>
      <xdr:colOff>25400</xdr:colOff>
      <xdr:row>0</xdr:row>
      <xdr:rowOff>164465</xdr:rowOff>
    </xdr:from>
    <xdr:ext cx="3000375" cy="471170"/>
    <xdr:sp macro="" textlink="">
      <xdr:nvSpPr>
        <xdr:cNvPr id="2" name="角丸四角形 1"/>
        <xdr:cNvSpPr/>
      </xdr:nvSpPr>
      <xdr:spPr>
        <a:xfrm>
          <a:off x="2949575" y="164465"/>
          <a:ext cx="3000375" cy="47117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000" b="1">
              <a:solidFill>
                <a:srgbClr val="FF0000"/>
              </a:solidFill>
            </a:rPr>
            <a:t>記入例 ①</a:t>
          </a:r>
          <a:endParaRPr kumimoji="1" lang="en-US" altLang="ja-JP" sz="2000" b="1">
            <a:solidFill>
              <a:srgbClr val="FF0000"/>
            </a:solidFill>
          </a:endParaRPr>
        </a:p>
      </xdr:txBody>
    </xdr:sp>
    <xdr:clientData/>
  </xdr:oneCellAnchor>
  <xdr:oneCellAnchor>
    <xdr:from xmlns:xdr="http://schemas.openxmlformats.org/drawingml/2006/spreadsheetDrawing">
      <xdr:col>15</xdr:col>
      <xdr:colOff>335915</xdr:colOff>
      <xdr:row>49</xdr:row>
      <xdr:rowOff>0</xdr:rowOff>
    </xdr:from>
    <xdr:ext cx="3000375" cy="470535"/>
    <xdr:sp macro="" textlink="">
      <xdr:nvSpPr>
        <xdr:cNvPr id="4" name="角丸四角形 3"/>
        <xdr:cNvSpPr/>
      </xdr:nvSpPr>
      <xdr:spPr>
        <a:xfrm>
          <a:off x="5403215" y="13744575"/>
          <a:ext cx="3000375" cy="47053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000" b="1">
              <a:solidFill>
                <a:srgbClr val="FF0000"/>
              </a:solidFill>
            </a:rPr>
            <a:t>記入例 ②</a:t>
          </a:r>
          <a:endParaRPr kumimoji="1" lang="en-US" altLang="ja-JP" sz="20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12</xdr:col>
      <xdr:colOff>692785</xdr:colOff>
      <xdr:row>35</xdr:row>
      <xdr:rowOff>121285</xdr:rowOff>
    </xdr:from>
    <xdr:ext cx="2994660" cy="471170"/>
    <xdr:sp macro="" textlink="">
      <xdr:nvSpPr>
        <xdr:cNvPr id="6" name="角丸四角形 5"/>
        <xdr:cNvSpPr/>
      </xdr:nvSpPr>
      <xdr:spPr>
        <a:xfrm>
          <a:off x="15894685" y="12856210"/>
          <a:ext cx="2994660" cy="47117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000" b="1">
              <a:solidFill>
                <a:srgbClr val="FF0000"/>
              </a:solidFill>
            </a:rPr>
            <a:t>減価償却用 記入例 </a:t>
          </a:r>
          <a:r>
            <a:rPr kumimoji="1" lang="ja-JP" altLang="en-US" sz="2000" b="1" baseline="0">
              <a:solidFill>
                <a:srgbClr val="FF0000"/>
              </a:solidFill>
            </a:rPr>
            <a:t> </a:t>
          </a:r>
          <a:r>
            <a:rPr kumimoji="1" lang="ja-JP" altLang="en-US" sz="2000" b="1">
              <a:solidFill>
                <a:srgbClr val="FF0000"/>
              </a:solidFill>
            </a:rPr>
            <a:t>③</a:t>
          </a:r>
          <a:endParaRPr kumimoji="1" lang="en-US" altLang="ja-JP" sz="2000" b="1">
            <a:solidFill>
              <a:srgbClr val="FF0000"/>
            </a:solidFill>
          </a:endParaRPr>
        </a:p>
      </xdr:txBody>
    </xdr:sp>
    <xdr:clientData/>
  </xdr:oneCellAnchor>
  <xdr:twoCellAnchor>
    <xdr:from xmlns:xdr="http://schemas.openxmlformats.org/drawingml/2006/spreadsheetDrawing">
      <xdr:col>6</xdr:col>
      <xdr:colOff>530860</xdr:colOff>
      <xdr:row>17</xdr:row>
      <xdr:rowOff>177800</xdr:rowOff>
    </xdr:from>
    <xdr:to xmlns:xdr="http://schemas.openxmlformats.org/drawingml/2006/spreadsheetDrawing">
      <xdr:col>9</xdr:col>
      <xdr:colOff>6350</xdr:colOff>
      <xdr:row>20</xdr:row>
      <xdr:rowOff>259080</xdr:rowOff>
    </xdr:to>
    <xdr:sp macro="" textlink="">
      <xdr:nvSpPr>
        <xdr:cNvPr id="5" name="角丸四角形吹き出し 4"/>
        <xdr:cNvSpPr/>
      </xdr:nvSpPr>
      <xdr:spPr>
        <a:xfrm>
          <a:off x="7903210" y="6911975"/>
          <a:ext cx="3390265" cy="1081405"/>
        </a:xfrm>
        <a:prstGeom prst="wedgeRoundRectCallout">
          <a:avLst>
            <a:gd name="adj1" fmla="val 58923"/>
            <a:gd name="adj2" fmla="val -468649"/>
            <a:gd name="adj3" fmla="val 16667"/>
          </a:avLst>
        </a:prstGeom>
        <a:ln w="444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ysClr val="windowText" lastClr="000000"/>
              </a:solidFill>
            </a:rPr>
            <a:t>７．当年分の資産購入額の内訳</a:t>
          </a:r>
          <a:endParaRPr kumimoji="1" lang="en-US" altLang="ja-JP" sz="1400">
            <a:solidFill>
              <a:sysClr val="windowText" lastClr="000000"/>
            </a:solidFill>
          </a:endParaRPr>
        </a:p>
        <a:p>
          <a:pPr algn="l"/>
          <a:r>
            <a:rPr kumimoji="1" lang="ja-JP" altLang="en-US" sz="1400">
              <a:solidFill>
                <a:sysClr val="windowText" lastClr="000000"/>
              </a:solidFill>
            </a:rPr>
            <a:t>　　（資料４　参照）</a:t>
          </a:r>
          <a:endParaRPr kumimoji="1" lang="en-US" altLang="ja-JP" sz="1400">
            <a:solidFill>
              <a:sysClr val="windowText" lastClr="000000"/>
            </a:solidFill>
          </a:endParaRPr>
        </a:p>
      </xdr:txBody>
    </xdr:sp>
    <xdr:clientData/>
  </xdr:twoCellAnchor>
  <xdr:twoCellAnchor>
    <xdr:from xmlns:xdr="http://schemas.openxmlformats.org/drawingml/2006/spreadsheetDrawing">
      <xdr:col>11</xdr:col>
      <xdr:colOff>1088390</xdr:colOff>
      <xdr:row>18</xdr:row>
      <xdr:rowOff>163195</xdr:rowOff>
    </xdr:from>
    <xdr:to xmlns:xdr="http://schemas.openxmlformats.org/drawingml/2006/spreadsheetDrawing">
      <xdr:col>13</xdr:col>
      <xdr:colOff>640080</xdr:colOff>
      <xdr:row>21</xdr:row>
      <xdr:rowOff>172720</xdr:rowOff>
    </xdr:to>
    <xdr:sp macro="" textlink="">
      <xdr:nvSpPr>
        <xdr:cNvPr id="7" name="角丸四角形吹き出し 6"/>
        <xdr:cNvSpPr/>
      </xdr:nvSpPr>
      <xdr:spPr>
        <a:xfrm>
          <a:off x="14985365" y="7230745"/>
          <a:ext cx="2161540" cy="1009650"/>
        </a:xfrm>
        <a:prstGeom prst="wedgeRoundRectCallout">
          <a:avLst>
            <a:gd name="adj1" fmla="val -38626"/>
            <a:gd name="adj2" fmla="val -521591"/>
            <a:gd name="adj3" fmla="val 16667"/>
          </a:avLst>
        </a:prstGeom>
        <a:ln w="444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ysClr val="windowText" lastClr="000000"/>
              </a:solidFill>
            </a:rPr>
            <a:t>８．資料５　の減価償却費合計を転記</a:t>
          </a:r>
          <a:endParaRPr kumimoji="1" lang="en-US" altLang="ja-JP"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6</xdr:col>
      <xdr:colOff>94615</xdr:colOff>
      <xdr:row>0</xdr:row>
      <xdr:rowOff>27940</xdr:rowOff>
    </xdr:from>
    <xdr:ext cx="2781300" cy="389255"/>
    <xdr:sp macro="" textlink="">
      <xdr:nvSpPr>
        <xdr:cNvPr id="4" name="角丸四角形 3"/>
        <xdr:cNvSpPr/>
      </xdr:nvSpPr>
      <xdr:spPr>
        <a:xfrm>
          <a:off x="4009390" y="27940"/>
          <a:ext cx="2781300" cy="38925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2000" b="1">
              <a:solidFill>
                <a:srgbClr val="FF0000"/>
              </a:solidFill>
            </a:rPr>
            <a:t>記入例 </a:t>
          </a:r>
          <a:r>
            <a:rPr kumimoji="1" lang="ja-JP" altLang="en-US" sz="2000" b="1" baseline="0">
              <a:solidFill>
                <a:srgbClr val="FF0000"/>
              </a:solidFill>
            </a:rPr>
            <a:t> ④</a:t>
          </a:r>
          <a:endParaRPr kumimoji="1" lang="en-US" altLang="ja-JP" sz="20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13</xdr:col>
      <xdr:colOff>965200</xdr:colOff>
      <xdr:row>0</xdr:row>
      <xdr:rowOff>63500</xdr:rowOff>
    </xdr:from>
    <xdr:ext cx="2999740" cy="469265"/>
    <xdr:sp macro="" textlink="">
      <xdr:nvSpPr>
        <xdr:cNvPr id="4" name="角丸四角形 3"/>
        <xdr:cNvSpPr/>
      </xdr:nvSpPr>
      <xdr:spPr>
        <a:xfrm>
          <a:off x="17195800" y="63500"/>
          <a:ext cx="2999740" cy="46926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000" b="1">
              <a:solidFill>
                <a:srgbClr val="FF0000"/>
              </a:solidFill>
            </a:rPr>
            <a:t>記入例 </a:t>
          </a:r>
          <a:r>
            <a:rPr kumimoji="1" lang="ja-JP" altLang="en-US" sz="2000" b="1" baseline="0">
              <a:solidFill>
                <a:srgbClr val="FF0000"/>
              </a:solidFill>
            </a:rPr>
            <a:t> ⑤</a:t>
          </a:r>
          <a:endParaRPr kumimoji="1" lang="en-US" altLang="ja-JP" sz="2000" b="1">
            <a:solidFill>
              <a:srgbClr val="FF0000"/>
            </a:solidFill>
          </a:endParaRPr>
        </a:p>
      </xdr:txBody>
    </xdr:sp>
    <xdr:clientData/>
  </xdr:oneCellAnchor>
  <xdr:twoCellAnchor>
    <xdr:from xmlns:xdr="http://schemas.openxmlformats.org/drawingml/2006/spreadsheetDrawing">
      <xdr:col>6</xdr:col>
      <xdr:colOff>625475</xdr:colOff>
      <xdr:row>12</xdr:row>
      <xdr:rowOff>90170</xdr:rowOff>
    </xdr:from>
    <xdr:to xmlns:xdr="http://schemas.openxmlformats.org/drawingml/2006/spreadsheetDrawing">
      <xdr:col>8</xdr:col>
      <xdr:colOff>855980</xdr:colOff>
      <xdr:row>17</xdr:row>
      <xdr:rowOff>3175</xdr:rowOff>
    </xdr:to>
    <xdr:sp macro="" textlink="">
      <xdr:nvSpPr>
        <xdr:cNvPr id="5" name="角丸四角形吹き出し 4"/>
        <xdr:cNvSpPr/>
      </xdr:nvSpPr>
      <xdr:spPr>
        <a:xfrm>
          <a:off x="7607300" y="3700145"/>
          <a:ext cx="3897630" cy="1246505"/>
        </a:xfrm>
        <a:prstGeom prst="wedgeRoundRectCallout">
          <a:avLst>
            <a:gd name="adj1" fmla="val -1568"/>
            <a:gd name="adj2" fmla="val -171444"/>
            <a:gd name="adj3" fmla="val 16667"/>
          </a:avLst>
        </a:prstGeom>
        <a:ln w="444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rPr>
            <a:t>１．償却資産は、資産毎に購入額を入力</a:t>
          </a:r>
          <a:endParaRPr kumimoji="1" lang="en-US" altLang="ja-JP" sz="1400">
            <a:solidFill>
              <a:sysClr val="windowText" lastClr="000000"/>
            </a:solidFill>
          </a:endParaRPr>
        </a:p>
        <a:p>
          <a:pPr algn="l"/>
          <a:r>
            <a:rPr kumimoji="1" lang="ja-JP" altLang="en-US" sz="1400">
              <a:solidFill>
                <a:sysClr val="windowText" lastClr="000000"/>
              </a:solidFill>
            </a:rPr>
            <a:t>　（対象年以前に購入した資産は入れない）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２．「減価償却費」欄に</a:t>
          </a:r>
          <a:r>
            <a:rPr kumimoji="1" lang="en-US" altLang="ja-JP" sz="1400">
              <a:solidFill>
                <a:sysClr val="windowText" lastClr="000000"/>
              </a:solidFill>
            </a:rPr>
            <a:t>"</a:t>
          </a:r>
          <a:r>
            <a:rPr kumimoji="1" lang="ja-JP" altLang="en-US" sz="1400">
              <a:solidFill>
                <a:sysClr val="windowText" lastClr="000000"/>
              </a:solidFill>
            </a:rPr>
            <a:t>〇</a:t>
          </a:r>
          <a:r>
            <a:rPr kumimoji="1" lang="en-US" altLang="ja-JP" sz="1400">
              <a:solidFill>
                <a:sysClr val="windowText" lastClr="000000"/>
              </a:solidFill>
            </a:rPr>
            <a:t>"</a:t>
          </a:r>
          <a:endParaRPr kumimoji="1" lang="ja-JP" altLang="en-US" sz="14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12</xdr:col>
      <xdr:colOff>267335</xdr:colOff>
      <xdr:row>0</xdr:row>
      <xdr:rowOff>267335</xdr:rowOff>
    </xdr:from>
    <xdr:ext cx="2995930" cy="469900"/>
    <xdr:sp macro="" textlink="">
      <xdr:nvSpPr>
        <xdr:cNvPr id="3" name="角丸四角形 2"/>
        <xdr:cNvSpPr/>
      </xdr:nvSpPr>
      <xdr:spPr>
        <a:xfrm>
          <a:off x="12021185" y="267335"/>
          <a:ext cx="2995930" cy="46990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000" b="1">
              <a:solidFill>
                <a:srgbClr val="FF0000"/>
              </a:solidFill>
            </a:rPr>
            <a:t> 記入例 </a:t>
          </a:r>
          <a:r>
            <a:rPr kumimoji="1" lang="ja-JP" altLang="en-US" sz="2000" b="1" baseline="0">
              <a:solidFill>
                <a:srgbClr val="FF0000"/>
              </a:solidFill>
            </a:rPr>
            <a:t> ⑥</a:t>
          </a:r>
          <a:endParaRPr kumimoji="1" lang="en-US" altLang="ja-JP" sz="2000" b="1">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6</xdr:col>
          <xdr:colOff>57150</xdr:colOff>
          <xdr:row>84</xdr:row>
          <xdr:rowOff>0</xdr:rowOff>
        </xdr:from>
        <xdr:to xmlns:xdr="http://schemas.openxmlformats.org/drawingml/2006/spreadsheetDrawing">
          <xdr:col>13</xdr:col>
          <xdr:colOff>163830</xdr:colOff>
          <xdr:row>88</xdr:row>
          <xdr:rowOff>170180</xdr:rowOff>
        </xdr:to>
        <xdr:sp textlink="">
          <xdr:nvSpPr>
            <xdr:cNvPr id="1025" name="オブジェクト 1" hidden="1">
              <a:extLst>
                <a:ext uri="{63B3BB69-23CF-44E3-9099-C40C66FF867C}">
                  <a14:compatExt spid="_x0000_s1025"/>
                </a:ext>
              </a:extLst>
            </xdr:cNvPr>
            <xdr:cNvSpPr>
              <a:spLocks noChangeAspect="1"/>
            </xdr:cNvSpPr>
          </xdr:nvSpPr>
          <xdr:spPr>
            <a:xfrm>
              <a:off x="3867150" y="20707350"/>
              <a:ext cx="5583555" cy="913130"/>
            </a:xfrm>
            <a:prstGeom prst="rect"/>
          </xdr:spPr>
        </xdr:sp>
        <xdr:clientData/>
      </xdr:twoCellAnchor>
    </mc:Choice>
    <mc:Fallback/>
  </mc:AlternateContent>
  <xdr:twoCellAnchor>
    <xdr:from xmlns:xdr="http://schemas.openxmlformats.org/drawingml/2006/spreadsheetDrawing">
      <xdr:col>9</xdr:col>
      <xdr:colOff>122555</xdr:colOff>
      <xdr:row>9</xdr:row>
      <xdr:rowOff>67945</xdr:rowOff>
    </xdr:from>
    <xdr:to xmlns:xdr="http://schemas.openxmlformats.org/drawingml/2006/spreadsheetDrawing">
      <xdr:col>15</xdr:col>
      <xdr:colOff>1320165</xdr:colOff>
      <xdr:row>15</xdr:row>
      <xdr:rowOff>203835</xdr:rowOff>
    </xdr:to>
    <xdr:sp macro="" textlink="">
      <xdr:nvSpPr>
        <xdr:cNvPr id="3" name="角丸四角形吹き出し 2"/>
        <xdr:cNvSpPr/>
      </xdr:nvSpPr>
      <xdr:spPr>
        <a:xfrm>
          <a:off x="7571105" y="2534920"/>
          <a:ext cx="4283710" cy="1621790"/>
        </a:xfrm>
        <a:prstGeom prst="wedgeRoundRectCallout">
          <a:avLst>
            <a:gd name="adj1" fmla="val 34363"/>
            <a:gd name="adj2" fmla="val -68224"/>
            <a:gd name="adj3" fmla="val 16667"/>
          </a:avLst>
        </a:prstGeom>
        <a:ln w="444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rPr>
            <a:t>３．「取得年月」「受益者の人数」を入力すると</a:t>
          </a:r>
          <a:endParaRPr kumimoji="1" lang="en-US" altLang="ja-JP" sz="1400">
            <a:solidFill>
              <a:sysClr val="windowText" lastClr="000000"/>
            </a:solidFill>
          </a:endParaRPr>
        </a:p>
        <a:p>
          <a:pPr algn="l"/>
          <a:r>
            <a:rPr kumimoji="1" lang="ja-JP" altLang="en-US" sz="1400">
              <a:solidFill>
                <a:sysClr val="windowText" lastClr="000000"/>
              </a:solidFill>
            </a:rPr>
            <a:t>　　一人あたりの所要額が出る（均等割）</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一人あたりの所要額が</a:t>
          </a:r>
          <a:r>
            <a:rPr kumimoji="1" lang="en-US" altLang="ja-JP" sz="1400">
              <a:solidFill>
                <a:sysClr val="windowText" lastClr="000000"/>
              </a:solidFill>
            </a:rPr>
            <a:t>10</a:t>
          </a:r>
          <a:r>
            <a:rPr kumimoji="1" lang="ja-JP" altLang="en-US" sz="1400">
              <a:solidFill>
                <a:sysClr val="windowText" lastClr="000000"/>
              </a:solidFill>
            </a:rPr>
            <a:t>万未満の場合、</a:t>
          </a:r>
          <a:endParaRPr kumimoji="1" lang="en-US" altLang="ja-JP" sz="1400">
            <a:solidFill>
              <a:sysClr val="windowText" lastClr="000000"/>
            </a:solidFill>
          </a:endParaRPr>
        </a:p>
        <a:p>
          <a:pPr algn="l"/>
          <a:r>
            <a:rPr kumimoji="1" lang="ja-JP" altLang="en-US" sz="1400">
              <a:solidFill>
                <a:sysClr val="windowText" lastClr="000000"/>
              </a:solidFill>
            </a:rPr>
            <a:t>　　全額が当年の償却となる</a:t>
          </a:r>
        </a:p>
      </xdr:txBody>
    </xdr:sp>
    <xdr:clientData/>
  </xdr:twoCellAnchor>
  <xdr:twoCellAnchor>
    <xdr:from xmlns:xdr="http://schemas.openxmlformats.org/drawingml/2006/spreadsheetDrawing">
      <xdr:col>6</xdr:col>
      <xdr:colOff>463550</xdr:colOff>
      <xdr:row>21</xdr:row>
      <xdr:rowOff>67945</xdr:rowOff>
    </xdr:from>
    <xdr:to xmlns:xdr="http://schemas.openxmlformats.org/drawingml/2006/spreadsheetDrawing">
      <xdr:col>10</xdr:col>
      <xdr:colOff>802640</xdr:colOff>
      <xdr:row>25</xdr:row>
      <xdr:rowOff>190500</xdr:rowOff>
    </xdr:to>
    <xdr:sp macro="" textlink="">
      <xdr:nvSpPr>
        <xdr:cNvPr id="4" name="角丸四角形吹き出し 3"/>
        <xdr:cNvSpPr/>
      </xdr:nvSpPr>
      <xdr:spPr>
        <a:xfrm>
          <a:off x="4273550" y="5506720"/>
          <a:ext cx="4282440" cy="1113155"/>
        </a:xfrm>
        <a:prstGeom prst="wedgeRoundRectCallout">
          <a:avLst>
            <a:gd name="adj1" fmla="val -34526"/>
            <a:gd name="adj2" fmla="val -98732"/>
            <a:gd name="adj3" fmla="val 16667"/>
          </a:avLst>
        </a:prstGeom>
        <a:ln w="444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ysClr val="windowText" lastClr="000000"/>
              </a:solidFill>
            </a:rPr>
            <a:t>３．当年以前に購入した資産の減価償却は</a:t>
          </a:r>
          <a:endParaRPr kumimoji="1" lang="en-US" altLang="ja-JP" sz="1400">
            <a:solidFill>
              <a:sysClr val="windowText" lastClr="000000"/>
            </a:solidFill>
          </a:endParaRPr>
        </a:p>
        <a:p>
          <a:pPr algn="l"/>
          <a:r>
            <a:rPr kumimoji="1" lang="ja-JP" altLang="en-US" sz="1400">
              <a:solidFill>
                <a:sysClr val="windowText" lastClr="000000"/>
              </a:solidFill>
            </a:rPr>
            <a:t>　こちらに入力</a:t>
          </a:r>
        </a:p>
      </xdr:txBody>
    </xdr:sp>
    <xdr:clientData/>
  </xdr:twoCellAnchor>
  <xdr:twoCellAnchor>
    <xdr:from xmlns:xdr="http://schemas.openxmlformats.org/drawingml/2006/spreadsheetDrawing">
      <xdr:col>15</xdr:col>
      <xdr:colOff>122555</xdr:colOff>
      <xdr:row>37</xdr:row>
      <xdr:rowOff>176530</xdr:rowOff>
    </xdr:from>
    <xdr:to xmlns:xdr="http://schemas.openxmlformats.org/drawingml/2006/spreadsheetDrawing">
      <xdr:col>20</xdr:col>
      <xdr:colOff>435610</xdr:colOff>
      <xdr:row>44</xdr:row>
      <xdr:rowOff>190500</xdr:rowOff>
    </xdr:to>
    <xdr:sp macro="" textlink="">
      <xdr:nvSpPr>
        <xdr:cNvPr id="5" name="角丸四角形吹き出し 4"/>
        <xdr:cNvSpPr/>
      </xdr:nvSpPr>
      <xdr:spPr>
        <a:xfrm>
          <a:off x="10657205" y="9577705"/>
          <a:ext cx="5161280" cy="1747520"/>
        </a:xfrm>
        <a:prstGeom prst="wedgeRoundRectCallout">
          <a:avLst>
            <a:gd name="adj1" fmla="val -35980"/>
            <a:gd name="adj2" fmla="val 63361"/>
            <a:gd name="adj3" fmla="val 16667"/>
          </a:avLst>
        </a:prstGeom>
        <a:ln w="444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ysClr val="windowText" lastClr="000000"/>
              </a:solidFill>
            </a:rPr>
            <a:t>４．「農業使用割合％」については、財務課へ相談。</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　　（農機具の場合は農作業以外に使わないので</a:t>
          </a:r>
          <a:r>
            <a:rPr kumimoji="1" lang="en-US" altLang="ja-JP" sz="1400">
              <a:solidFill>
                <a:sysClr val="windowText" lastClr="000000"/>
              </a:solidFill>
            </a:rPr>
            <a:t>100%</a:t>
          </a:r>
        </a:p>
        <a:p>
          <a:pPr algn="l"/>
          <a:r>
            <a:rPr kumimoji="1" lang="ja-JP" altLang="en-US" sz="1400">
              <a:solidFill>
                <a:sysClr val="windowText" lastClr="000000"/>
              </a:solidFill>
            </a:rPr>
            <a:t>　　　と考えられる）</a:t>
          </a:r>
          <a:endParaRPr kumimoji="1" lang="en-US" altLang="ja-JP" sz="1400">
            <a:solidFill>
              <a:sysClr val="windowText" lastClr="000000"/>
            </a:solidFill>
          </a:endParaRPr>
        </a:p>
      </xdr:txBody>
    </xdr:sp>
    <xdr:clientData/>
  </xdr:twoCellAnchor>
  <xdr:twoCellAnchor>
    <xdr:from xmlns:xdr="http://schemas.openxmlformats.org/drawingml/2006/spreadsheetDrawing">
      <xdr:col>6</xdr:col>
      <xdr:colOff>558165</xdr:colOff>
      <xdr:row>52</xdr:row>
      <xdr:rowOff>231140</xdr:rowOff>
    </xdr:from>
    <xdr:to xmlns:xdr="http://schemas.openxmlformats.org/drawingml/2006/spreadsheetDrawing">
      <xdr:col>12</xdr:col>
      <xdr:colOff>177165</xdr:colOff>
      <xdr:row>59</xdr:row>
      <xdr:rowOff>54610</xdr:rowOff>
    </xdr:to>
    <xdr:sp macro="" textlink="">
      <xdr:nvSpPr>
        <xdr:cNvPr id="6" name="角丸四角形吹き出し 5"/>
        <xdr:cNvSpPr/>
      </xdr:nvSpPr>
      <xdr:spPr>
        <a:xfrm>
          <a:off x="4368165" y="13404215"/>
          <a:ext cx="4638675" cy="1480820"/>
        </a:xfrm>
        <a:prstGeom prst="wedgeRoundRectCallout">
          <a:avLst>
            <a:gd name="adj1" fmla="val 50225"/>
            <a:gd name="adj2" fmla="val 83336"/>
            <a:gd name="adj3" fmla="val 16667"/>
          </a:avLst>
        </a:prstGeom>
        <a:ln w="444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ysClr val="windowText" lastClr="000000"/>
              </a:solidFill>
            </a:rPr>
            <a:t>５．一人あたりの償却額が</a:t>
          </a:r>
          <a:r>
            <a:rPr kumimoji="1" lang="en-US" altLang="ja-JP" sz="1400">
              <a:solidFill>
                <a:sysClr val="windowText" lastClr="000000"/>
              </a:solidFill>
            </a:rPr>
            <a:t>20</a:t>
          </a:r>
          <a:r>
            <a:rPr kumimoji="1" lang="ja-JP" altLang="en-US" sz="1400">
              <a:solidFill>
                <a:sysClr val="windowText" lastClr="000000"/>
              </a:solidFill>
            </a:rPr>
            <a:t>万円を超えるものは</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　　「定数」</a:t>
          </a:r>
          <a:r>
            <a:rPr kumimoji="1" lang="ja-JP" altLang="ja-JP" sz="1400">
              <a:solidFill>
                <a:schemeClr val="dk1"/>
              </a:solidFill>
              <a:effectLst/>
              <a:latin typeface="+mn-lt"/>
              <a:ea typeface="+mn-ea"/>
              <a:cs typeface="+mn-cs"/>
            </a:rPr>
            <a:t>「年間使用月数」</a:t>
          </a:r>
          <a:r>
            <a:rPr kumimoji="1" lang="ja-JP" altLang="en-US" sz="1400">
              <a:solidFill>
                <a:sysClr val="windowText" lastClr="000000"/>
              </a:solidFill>
            </a:rPr>
            <a:t>「使用割合」を入力し、</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　　当年分の減価償却費を求める</a:t>
          </a:r>
        </a:p>
      </xdr:txBody>
    </xdr:sp>
    <xdr:clientData/>
  </xdr:twoCellAnchor>
  <xdr:twoCellAnchor>
    <xdr:from xmlns:xdr="http://schemas.openxmlformats.org/drawingml/2006/spreadsheetDrawing">
      <xdr:col>11</xdr:col>
      <xdr:colOff>108585</xdr:colOff>
      <xdr:row>64</xdr:row>
      <xdr:rowOff>109220</xdr:rowOff>
    </xdr:from>
    <xdr:to xmlns:xdr="http://schemas.openxmlformats.org/drawingml/2006/spreadsheetDrawing">
      <xdr:col>17</xdr:col>
      <xdr:colOff>1130300</xdr:colOff>
      <xdr:row>68</xdr:row>
      <xdr:rowOff>149860</xdr:rowOff>
    </xdr:to>
    <xdr:sp macro="" textlink="">
      <xdr:nvSpPr>
        <xdr:cNvPr id="8" name="角丸四角形吹き出し 7"/>
        <xdr:cNvSpPr/>
      </xdr:nvSpPr>
      <xdr:spPr>
        <a:xfrm>
          <a:off x="8738235" y="16120745"/>
          <a:ext cx="4622165" cy="1040765"/>
        </a:xfrm>
        <a:prstGeom prst="wedgeRoundRectCallout">
          <a:avLst>
            <a:gd name="adj1" fmla="val -38338"/>
            <a:gd name="adj2" fmla="val -61618"/>
            <a:gd name="adj3" fmla="val 16667"/>
          </a:avLst>
        </a:prstGeom>
        <a:ln w="444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400">
              <a:solidFill>
                <a:sysClr val="windowText" lastClr="000000"/>
              </a:solidFill>
            </a:rPr>
            <a:t>※</a:t>
          </a:r>
          <a:r>
            <a:rPr kumimoji="1" lang="ja-JP" altLang="en-US" sz="1400">
              <a:solidFill>
                <a:sysClr val="windowText" lastClr="000000"/>
              </a:solidFill>
            </a:rPr>
            <a:t>　ちなみに　年間使用月数　とは</a:t>
          </a:r>
          <a:endParaRPr kumimoji="1" lang="en-US" altLang="ja-JP" sz="1400">
            <a:solidFill>
              <a:sysClr val="windowText" lastClr="000000"/>
            </a:solidFill>
          </a:endParaRPr>
        </a:p>
        <a:p>
          <a:pPr algn="l"/>
          <a:endParaRPr kumimoji="1" lang="en-US" altLang="ja-JP" sz="1000">
            <a:solidFill>
              <a:sysClr val="windowText" lastClr="000000"/>
            </a:solidFill>
          </a:endParaRPr>
        </a:p>
        <a:p>
          <a:pPr algn="ctr"/>
          <a:r>
            <a:rPr kumimoji="1" lang="ja-JP" altLang="en-US" sz="1400">
              <a:solidFill>
                <a:sysClr val="windowText" lastClr="000000"/>
              </a:solidFill>
            </a:rPr>
            <a:t>「購入月～１２月末までの月数」の意</a:t>
          </a:r>
        </a:p>
      </xdr:txBody>
    </xdr:sp>
    <xdr:clientData/>
  </xdr:twoCellAnchor>
  <xdr:twoCellAnchor>
    <xdr:from xmlns:xdr="http://schemas.openxmlformats.org/drawingml/2006/spreadsheetDrawing">
      <xdr:col>10</xdr:col>
      <xdr:colOff>448945</xdr:colOff>
      <xdr:row>72</xdr:row>
      <xdr:rowOff>257175</xdr:rowOff>
    </xdr:from>
    <xdr:to xmlns:xdr="http://schemas.openxmlformats.org/drawingml/2006/spreadsheetDrawing">
      <xdr:col>17</xdr:col>
      <xdr:colOff>1468120</xdr:colOff>
      <xdr:row>77</xdr:row>
      <xdr:rowOff>245110</xdr:rowOff>
    </xdr:to>
    <xdr:sp macro="" textlink="">
      <xdr:nvSpPr>
        <xdr:cNvPr id="9" name="角丸四角形吹き出し 8"/>
        <xdr:cNvSpPr/>
      </xdr:nvSpPr>
      <xdr:spPr>
        <a:xfrm>
          <a:off x="8202295" y="18192750"/>
          <a:ext cx="5495925" cy="1273810"/>
        </a:xfrm>
        <a:prstGeom prst="wedgeRoundRectCallout">
          <a:avLst>
            <a:gd name="adj1" fmla="val -32659"/>
            <a:gd name="adj2" fmla="val -71192"/>
            <a:gd name="adj3" fmla="val 16667"/>
          </a:avLst>
        </a:prstGeom>
        <a:ln w="444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400">
              <a:solidFill>
                <a:sysClr val="windowText" lastClr="000000"/>
              </a:solidFill>
            </a:rPr>
            <a:t>※</a:t>
          </a:r>
          <a:r>
            <a:rPr kumimoji="1" lang="ja-JP" altLang="en-US" sz="1400">
              <a:solidFill>
                <a:sysClr val="windowText" lastClr="000000"/>
              </a:solidFill>
            </a:rPr>
            <a:t>　償却中の資産については１２ヶ月（１年間）となる</a:t>
          </a:r>
          <a:endParaRPr kumimoji="1" lang="en-US" altLang="ja-JP" sz="1400">
            <a:solidFill>
              <a:sysClr val="windowText" lastClr="000000"/>
            </a:solidFill>
          </a:endParaRPr>
        </a:p>
        <a:p>
          <a:pPr algn="l"/>
          <a:endParaRPr kumimoji="1" lang="en-US" altLang="ja-JP" sz="1000">
            <a:solidFill>
              <a:sysClr val="windowText" lastClr="000000"/>
            </a:solidFill>
          </a:endParaRPr>
        </a:p>
        <a:p>
          <a:pPr algn="l"/>
          <a:r>
            <a:rPr kumimoji="1" lang="ja-JP" altLang="en-US" sz="1400">
              <a:solidFill>
                <a:sysClr val="windowText" lastClr="000000"/>
              </a:solidFill>
            </a:rPr>
            <a:t>　　　（注）　償却の最終年は例外</a:t>
          </a:r>
          <a:endParaRPr kumimoji="1" lang="en-US" altLang="ja-JP" sz="1000">
            <a:solidFill>
              <a:sysClr val="windowText" lastClr="000000"/>
            </a:solidFill>
          </a:endParaRPr>
        </a:p>
        <a:p>
          <a:pPr algn="r"/>
          <a:r>
            <a:rPr kumimoji="1" lang="ja-JP" altLang="en-US" sz="1400">
              <a:solidFill>
                <a:sysClr val="windowText" lastClr="000000"/>
              </a:solidFill>
            </a:rPr>
            <a:t>　　</a:t>
          </a:r>
          <a:r>
            <a:rPr kumimoji="1" lang="ja-JP" altLang="en-US" sz="1100">
              <a:solidFill>
                <a:sysClr val="windowText" lastClr="000000"/>
              </a:solidFill>
            </a:rPr>
            <a:t>この乾燥機の場合、</a:t>
          </a:r>
          <a:r>
            <a:rPr kumimoji="1" lang="en-US" altLang="ja-JP" sz="1100">
              <a:solidFill>
                <a:sysClr val="windowText" lastClr="000000"/>
              </a:solidFill>
            </a:rPr>
            <a:t>H34.1</a:t>
          </a:r>
          <a:r>
            <a:rPr kumimoji="1" lang="ja-JP" altLang="en-US" sz="1100">
              <a:solidFill>
                <a:sysClr val="windowText" lastClr="000000"/>
              </a:solidFill>
            </a:rPr>
            <a:t>月の収支報告の際の年間使用月数は</a:t>
          </a:r>
          <a:r>
            <a:rPr kumimoji="1" lang="en-US" altLang="ja-JP" sz="1100">
              <a:solidFill>
                <a:sysClr val="windowText" lastClr="000000"/>
              </a:solidFill>
            </a:rPr>
            <a:t>"</a:t>
          </a:r>
          <a:r>
            <a:rPr kumimoji="1" lang="ja-JP" altLang="en-US" sz="1100">
              <a:solidFill>
                <a:sysClr val="windowText" lastClr="000000"/>
              </a:solidFill>
            </a:rPr>
            <a:t>４ヶ月</a:t>
          </a:r>
          <a:r>
            <a:rPr kumimoji="1" lang="en-US" altLang="ja-JP" sz="1100">
              <a:solidFill>
                <a:sysClr val="windowText" lastClr="000000"/>
              </a:solidFill>
            </a:rPr>
            <a:t>"</a:t>
          </a:r>
          <a:r>
            <a:rPr kumimoji="1" lang="ja-JP" altLang="en-US" sz="1100">
              <a:solidFill>
                <a:sysClr val="windowText" lastClr="000000"/>
              </a:solidFill>
            </a:rPr>
            <a:t>となる</a:t>
          </a:r>
          <a:endParaRPr kumimoji="1" lang="en-US" altLang="ja-JP" sz="1100">
            <a:solidFill>
              <a:sysClr val="windowText" lastClr="000000"/>
            </a:solidFill>
          </a:endParaRPr>
        </a:p>
      </xdr:txBody>
    </xdr:sp>
    <xdr:clientData/>
  </xdr:twoCellAnchor>
  <xdr:oneCellAnchor>
    <xdr:from xmlns:xdr="http://schemas.openxmlformats.org/drawingml/2006/spreadsheetDrawing">
      <xdr:col>6</xdr:col>
      <xdr:colOff>612140</xdr:colOff>
      <xdr:row>72</xdr:row>
      <xdr:rowOff>74930</xdr:rowOff>
    </xdr:from>
    <xdr:ext cx="3031490" cy="984250"/>
    <xdr:sp macro="" textlink="">
      <xdr:nvSpPr>
        <xdr:cNvPr id="10" name="角丸四角形吹き出し 9"/>
        <xdr:cNvSpPr/>
      </xdr:nvSpPr>
      <xdr:spPr>
        <a:xfrm>
          <a:off x="4422140" y="18010505"/>
          <a:ext cx="3031490" cy="984250"/>
        </a:xfrm>
        <a:prstGeom prst="wedgeRoundRectCallout">
          <a:avLst>
            <a:gd name="adj1" fmla="val 75413"/>
            <a:gd name="adj2" fmla="val -58708"/>
            <a:gd name="adj3" fmla="val 16667"/>
          </a:avLst>
        </a:prstGeom>
        <a:ln w="444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償却中の資産の場合、下表より</a:t>
          </a:r>
          <a:endParaRPr kumimoji="1" lang="en-US" altLang="ja-JP" sz="1200">
            <a:solidFill>
              <a:sysClr val="windowText" lastClr="000000"/>
            </a:solidFill>
          </a:endParaRPr>
        </a:p>
        <a:p>
          <a:pPr algn="ctr"/>
          <a:r>
            <a:rPr kumimoji="1" lang="ja-JP" altLang="en-US" sz="1200">
              <a:solidFill>
                <a:sysClr val="windowText" lastClr="000000"/>
              </a:solidFill>
            </a:rPr>
            <a:t>該当する償却率を選んで入力</a:t>
          </a:r>
          <a:endParaRPr kumimoji="1" lang="en-US" altLang="ja-JP" sz="1200">
            <a:solidFill>
              <a:sysClr val="windowText" lastClr="000000"/>
            </a:solidFill>
          </a:endParaRPr>
        </a:p>
        <a:p>
          <a:pPr algn="ctr"/>
          <a:endParaRPr kumimoji="1" lang="en-US" altLang="ja-JP" sz="1200">
            <a:solidFill>
              <a:sysClr val="windowText" lastClr="000000"/>
            </a:solidFill>
          </a:endParaRPr>
        </a:p>
        <a:p>
          <a:pPr algn="ctr"/>
          <a:r>
            <a:rPr kumimoji="1" lang="ja-JP" altLang="en-US" sz="1200">
              <a:solidFill>
                <a:sysClr val="windowText" lastClr="000000"/>
              </a:solidFill>
            </a:rPr>
            <a:t>農機具</a:t>
          </a:r>
          <a:r>
            <a:rPr kumimoji="1" lang="en-US" altLang="ja-JP" sz="1200">
              <a:solidFill>
                <a:sysClr val="windowText" lastClr="000000"/>
              </a:solidFill>
            </a:rPr>
            <a:t>(H21</a:t>
          </a:r>
          <a:r>
            <a:rPr kumimoji="1" lang="ja-JP" altLang="en-US" sz="1200">
              <a:solidFill>
                <a:sysClr val="windowText" lastClr="000000"/>
              </a:solidFill>
            </a:rPr>
            <a:t>以降購入</a:t>
          </a:r>
          <a:r>
            <a:rPr kumimoji="1" lang="en-US" altLang="ja-JP" sz="1200">
              <a:solidFill>
                <a:sysClr val="windowText" lastClr="000000"/>
              </a:solidFill>
            </a:rPr>
            <a:t>)</a:t>
          </a:r>
          <a:r>
            <a:rPr kumimoji="1" lang="ja-JP" altLang="en-US" sz="1200">
              <a:solidFill>
                <a:sysClr val="windowText" lastClr="000000"/>
              </a:solidFill>
            </a:rPr>
            <a:t>の場合は「</a:t>
          </a:r>
          <a:r>
            <a:rPr kumimoji="1" lang="en-US" altLang="ja-JP" sz="1200">
              <a:solidFill>
                <a:sysClr val="windowText" lastClr="000000"/>
              </a:solidFill>
            </a:rPr>
            <a:t>0.143</a:t>
          </a:r>
          <a:r>
            <a:rPr kumimoji="1" lang="ja-JP" altLang="en-US" sz="1200">
              <a:solidFill>
                <a:sysClr val="windowText" lastClr="000000"/>
              </a:solidFill>
            </a:rPr>
            <a:t>」</a:t>
          </a:r>
          <a:endParaRPr kumimoji="1" lang="en-US" altLang="ja-JP" sz="1200">
            <a:solidFill>
              <a:sysClr val="windowText" lastClr="000000"/>
            </a:solidFill>
          </a:endParaRPr>
        </a:p>
      </xdr:txBody>
    </xdr:sp>
    <xdr:clientData/>
  </xdr:oneCellAnchor>
  <xdr:oneCellAnchor>
    <xdr:from xmlns:xdr="http://schemas.openxmlformats.org/drawingml/2006/spreadsheetDrawing">
      <xdr:col>17</xdr:col>
      <xdr:colOff>869950</xdr:colOff>
      <xdr:row>0</xdr:row>
      <xdr:rowOff>95250</xdr:rowOff>
    </xdr:from>
    <xdr:ext cx="3000375" cy="471170"/>
    <xdr:sp macro="" textlink="">
      <xdr:nvSpPr>
        <xdr:cNvPr id="12" name="角丸四角形 11"/>
        <xdr:cNvSpPr/>
      </xdr:nvSpPr>
      <xdr:spPr>
        <a:xfrm>
          <a:off x="13100050" y="95250"/>
          <a:ext cx="3000375" cy="47117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000" b="1">
              <a:solidFill>
                <a:srgbClr val="FF0000"/>
              </a:solidFill>
            </a:rPr>
            <a:t> 記入例 </a:t>
          </a:r>
          <a:r>
            <a:rPr kumimoji="1" lang="ja-JP" altLang="en-US" sz="2000" b="1" baseline="0">
              <a:solidFill>
                <a:srgbClr val="FF0000"/>
              </a:solidFill>
            </a:rPr>
            <a:t> ⑦</a:t>
          </a:r>
          <a:endParaRPr kumimoji="1" lang="en-US" altLang="ja-JP" sz="2000" b="1">
            <a:solidFill>
              <a:srgbClr val="FF0000"/>
            </a:solidFill>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80010</xdr:colOff>
      <xdr:row>19</xdr:row>
      <xdr:rowOff>48260</xdr:rowOff>
    </xdr:from>
    <xdr:to xmlns:xdr="http://schemas.openxmlformats.org/drawingml/2006/spreadsheetDrawing">
      <xdr:col>8</xdr:col>
      <xdr:colOff>174625</xdr:colOff>
      <xdr:row>26</xdr:row>
      <xdr:rowOff>111125</xdr:rowOff>
    </xdr:to>
    <xdr:sp macro="" textlink="">
      <xdr:nvSpPr>
        <xdr:cNvPr id="2" name="角丸四角形吹き出し 1"/>
        <xdr:cNvSpPr/>
      </xdr:nvSpPr>
      <xdr:spPr>
        <a:xfrm>
          <a:off x="4099560" y="5496560"/>
          <a:ext cx="5047615" cy="1929765"/>
        </a:xfrm>
        <a:prstGeom prst="wedgeRoundRectCallout">
          <a:avLst>
            <a:gd name="adj1" fmla="val 36585"/>
            <a:gd name="adj2" fmla="val -68485"/>
            <a:gd name="adj3" fmla="val 16667"/>
          </a:avLst>
        </a:prstGeom>
        <a:ln w="444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ysClr val="windowText" lastClr="000000"/>
              </a:solidFill>
            </a:rPr>
            <a:t>６．減価償却費を均等割する場合は資料４で求めた</a:t>
          </a:r>
          <a:endParaRPr kumimoji="1" lang="en-US" altLang="ja-JP" sz="1400">
            <a:solidFill>
              <a:sysClr val="windowText" lastClr="000000"/>
            </a:solidFill>
          </a:endParaRPr>
        </a:p>
        <a:p>
          <a:pPr algn="l"/>
          <a:r>
            <a:rPr kumimoji="1" lang="ja-JP" altLang="en-US" sz="1400">
              <a:solidFill>
                <a:sysClr val="windowText" lastClr="000000"/>
              </a:solidFill>
            </a:rPr>
            <a:t>　　一人あたりの額を転記する</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独自に按分する場合は、協定の約束事に従って</a:t>
          </a:r>
          <a:endParaRPr kumimoji="1" lang="en-US" altLang="ja-JP" sz="1400">
            <a:solidFill>
              <a:sysClr val="windowText" lastClr="000000"/>
            </a:solidFill>
          </a:endParaRPr>
        </a:p>
        <a:p>
          <a:pPr algn="l"/>
          <a:r>
            <a:rPr kumimoji="1" lang="ja-JP" altLang="en-US" sz="1400">
              <a:solidFill>
                <a:sysClr val="windowText" lastClr="000000"/>
              </a:solidFill>
            </a:rPr>
            <a:t>　　　　額を入力する。</a:t>
          </a:r>
        </a:p>
      </xdr:txBody>
    </xdr:sp>
    <xdr:clientData/>
  </xdr:twoCellAnchor>
  <xdr:oneCellAnchor>
    <xdr:from xmlns:xdr="http://schemas.openxmlformats.org/drawingml/2006/spreadsheetDrawing">
      <xdr:col>11</xdr:col>
      <xdr:colOff>540385</xdr:colOff>
      <xdr:row>0</xdr:row>
      <xdr:rowOff>111760</xdr:rowOff>
    </xdr:from>
    <xdr:ext cx="2999740" cy="472440"/>
    <xdr:sp macro="" textlink="">
      <xdr:nvSpPr>
        <xdr:cNvPr id="4" name="角丸四角形 3"/>
        <xdr:cNvSpPr/>
      </xdr:nvSpPr>
      <xdr:spPr>
        <a:xfrm>
          <a:off x="13284835" y="111760"/>
          <a:ext cx="2999740" cy="47244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000" b="1">
              <a:solidFill>
                <a:srgbClr val="FF0000"/>
              </a:solidFill>
            </a:rPr>
            <a:t> 記入例 </a:t>
          </a:r>
          <a:r>
            <a:rPr kumimoji="1" lang="ja-JP" altLang="en-US" sz="2000" b="1" baseline="0">
              <a:solidFill>
                <a:srgbClr val="FF0000"/>
              </a:solidFill>
            </a:rPr>
            <a:t> ⑧</a:t>
          </a:r>
          <a:endParaRPr kumimoji="1" lang="en-US" altLang="ja-JP" sz="2000" b="1">
            <a:solidFill>
              <a:srgbClr val="FF0000"/>
            </a:solidFill>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mlns:xdr="http://schemas.openxmlformats.org/drawingml/2006/spreadsheetDrawing">
      <xdr:col>1</xdr:col>
      <xdr:colOff>228600</xdr:colOff>
      <xdr:row>1</xdr:row>
      <xdr:rowOff>203200</xdr:rowOff>
    </xdr:from>
    <xdr:ext cx="2999105" cy="471170"/>
    <xdr:sp macro="" textlink="">
      <xdr:nvSpPr>
        <xdr:cNvPr id="3" name="角丸四角形 2"/>
        <xdr:cNvSpPr/>
      </xdr:nvSpPr>
      <xdr:spPr>
        <a:xfrm>
          <a:off x="914400" y="422275"/>
          <a:ext cx="2999105" cy="47117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000" b="1">
              <a:solidFill>
                <a:srgbClr val="FF0000"/>
              </a:solidFill>
            </a:rPr>
            <a:t> 記入例 </a:t>
          </a:r>
          <a:r>
            <a:rPr kumimoji="1" lang="ja-JP" altLang="en-US" sz="2000" b="1" baseline="0">
              <a:solidFill>
                <a:srgbClr val="FF0000"/>
              </a:solidFill>
            </a:rPr>
            <a:t> ⑨</a:t>
          </a:r>
          <a:endParaRPr kumimoji="1" lang="en-US" altLang="ja-JP" sz="2000" b="1">
            <a:solidFill>
              <a:srgbClr val="FF0000"/>
            </a:solidFill>
          </a:endParaRPr>
        </a:p>
      </xdr:txBody>
    </xdr:sp>
    <xdr:clientData/>
  </xdr:oneCellAnchor>
</xdr:wsDr>
</file>

<file path=xl/externalLinks/_rels/externalLink1.xml.rels><?xml version="1.0" encoding="UTF-8"?><Relationships xmlns="http://schemas.openxmlformats.org/package/2006/relationships"><Relationship Id="rId1" Type="http://schemas.openxmlformats.org/officeDocument/2006/relationships/externalLinkPath" Target="\norin\04_&#20013;&#23665;&#38291;&#22320;&#22495;&#31561;&#30452;&#25509;&#25903;&#25173;&#21046;&#24230;\R2&#65374;&#65330;6&#65288;5&#26399;&#23550;&#31574;&#65289;\&#65330;&#65300;\&#21332;&#23450;&#38306;&#20418;\20221216%20&#36890;&#30693;&#65288;&#21454;&#25903;&#22577;&#21578;&#65289;\&#25552;&#20986;&#20381;&#38972;&#65288;HP&#29992;&#65289;\&#12304;&#12487;&#12540;&#12479;&#22730;&#12428;&#12383;&#12305;5.%20&#35352;&#20837;&#20363;&#65288;&#21454;&#25903;&#22577;&#21578;&#29992;&#12539;&#28187;&#20385;&#20767;&#21364;&#29992;&#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資料1.参加者及び面積"/>
      <sheetName val="資料2.内訳"/>
      <sheetName val="資料3.個人の所得内訳"/>
      <sheetName val="資料4.減価償却内訳"/>
      <sheetName val="資料5.減価償却費個別内訳"/>
      <sheetName val="別紙.個人所得計算表"/>
      <sheetName val="収支報告書"/>
      <sheetName val="細目諸様式"/>
    </sheetNames>
    <sheetDataSet>
      <sheetData sheetId="0"/>
      <sheetData sheetId="1"/>
      <sheetData sheetId="2"/>
      <sheetData sheetId="3"/>
      <sheetData sheetId="4">
        <row r="6">
          <cell r="C6">
            <v>201200</v>
          </cell>
        </row>
        <row r="7">
          <cell r="C7">
            <v>201200</v>
          </cell>
        </row>
        <row r="8">
          <cell r="C8">
            <v>201200</v>
          </cell>
        </row>
        <row r="9">
          <cell r="C9">
            <v>201200</v>
          </cell>
        </row>
        <row r="10">
          <cell r="C10">
            <v>201200</v>
          </cell>
        </row>
        <row r="11">
          <cell r="C11">
            <v>201200</v>
          </cell>
        </row>
        <row r="12">
          <cell r="C12">
            <v>201200</v>
          </cell>
        </row>
        <row r="13">
          <cell r="C13">
            <v>201200</v>
          </cell>
        </row>
        <row r="14">
          <cell r="C14">
            <v>201200</v>
          </cell>
        </row>
        <row r="15">
          <cell r="C15">
            <v>201200</v>
          </cell>
        </row>
        <row r="16">
          <cell r="C16">
            <v>201200</v>
          </cell>
        </row>
        <row r="17">
          <cell r="C17">
            <v>201200</v>
          </cell>
        </row>
        <row r="18">
          <cell r="C18">
            <v>0</v>
          </cell>
        </row>
        <row r="19">
          <cell r="C19">
            <v>0</v>
          </cell>
        </row>
        <row r="20">
          <cell r="C20">
            <v>0</v>
          </cell>
        </row>
        <row r="21">
          <cell r="C21">
            <v>0</v>
          </cell>
        </row>
        <row r="22">
          <cell r="C22">
            <v>0</v>
          </cell>
        </row>
        <row r="23">
          <cell r="C23">
            <v>0</v>
          </cell>
        </row>
        <row r="24">
          <cell r="C24">
            <v>0</v>
          </cell>
        </row>
        <row r="25">
          <cell r="C25">
            <v>0</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1.vml" /><Relationship Id="rId4" Type="http://schemas.openxmlformats.org/officeDocument/2006/relationships/oleObject" Target="../embeddings/oleObject1.bin" /><Relationship Id="rId5" Type="http://schemas.openxmlformats.org/officeDocument/2006/relationships/image" Target="../media/image1.emf"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AW90"/>
  <sheetViews>
    <sheetView showZeros="0" tabSelected="1" view="pageBreakPreview" zoomScale="85" zoomScaleNormal="85" zoomScaleSheetLayoutView="85" workbookViewId="0">
      <selection activeCell="A92" sqref="A92"/>
    </sheetView>
  </sheetViews>
  <sheetFormatPr defaultColWidth="3.625" defaultRowHeight="17.100000000000001" customHeight="1"/>
  <cols>
    <col min="1" max="7" width="3.625" style="1"/>
    <col min="8" max="8" width="3.75" style="1" customWidth="1"/>
    <col min="9" max="9" width="4.75" style="1" customWidth="1"/>
    <col min="10" max="10" width="4.5" style="1" customWidth="1"/>
    <col min="11" max="15" width="5.625" style="1" customWidth="1"/>
    <col min="16" max="22" width="6.625" style="1" customWidth="1"/>
    <col min="23" max="23" width="3.625" style="1"/>
    <col min="24" max="24" width="15.875" style="1" customWidth="1"/>
    <col min="25" max="25" width="13.875" style="1" customWidth="1"/>
    <col min="26" max="27" width="3.625" style="1"/>
    <col min="28" max="29" width="27.625" style="1" customWidth="1"/>
    <col min="30" max="47" width="3.625" style="1"/>
    <col min="48" max="48" width="11.625" style="1" customWidth="1"/>
    <col min="49" max="16384" width="3.625" style="1"/>
  </cols>
  <sheetData>
    <row r="1" spans="1:46" ht="21.75" customHeight="1">
      <c r="A1" s="3"/>
      <c r="B1" s="3"/>
      <c r="C1" s="3"/>
      <c r="D1" s="3"/>
      <c r="E1" s="2"/>
      <c r="F1" s="2"/>
      <c r="G1" s="2"/>
      <c r="H1" s="2"/>
      <c r="I1" s="2"/>
      <c r="J1" s="2"/>
      <c r="K1" s="2"/>
      <c r="L1" s="2"/>
      <c r="M1" s="2"/>
      <c r="N1" s="2"/>
      <c r="O1" s="2"/>
      <c r="P1" s="2"/>
      <c r="Q1" s="2"/>
      <c r="R1" s="2"/>
      <c r="S1" s="2"/>
      <c r="T1" s="2"/>
      <c r="U1" s="2"/>
      <c r="V1" s="2"/>
    </row>
    <row r="2" spans="1:46" ht="21.75" customHeight="1">
      <c r="A2" s="4" t="s">
        <v>144</v>
      </c>
      <c r="B2" s="9"/>
      <c r="C2" s="9"/>
      <c r="D2" s="9"/>
      <c r="E2" s="9"/>
      <c r="F2" s="9"/>
      <c r="G2" s="9"/>
      <c r="H2" s="9"/>
      <c r="I2" s="9"/>
      <c r="J2" s="9"/>
      <c r="K2" s="9"/>
      <c r="L2" s="9"/>
      <c r="M2" s="9"/>
      <c r="N2" s="9"/>
      <c r="O2" s="9"/>
      <c r="P2" s="9"/>
      <c r="Q2" s="9"/>
      <c r="R2" s="9"/>
      <c r="S2" s="9"/>
      <c r="T2" s="9"/>
      <c r="U2" s="9"/>
      <c r="V2" s="9"/>
      <c r="W2" s="194"/>
    </row>
    <row r="3" spans="1:46" ht="21.75" customHeight="1">
      <c r="A3" s="2"/>
      <c r="B3" s="2" t="s">
        <v>30</v>
      </c>
      <c r="C3" s="2"/>
      <c r="D3" s="2"/>
      <c r="E3" s="2"/>
      <c r="F3" s="2"/>
      <c r="G3" s="2"/>
      <c r="H3" s="2"/>
      <c r="I3" s="2"/>
      <c r="J3" s="2"/>
      <c r="K3" s="2"/>
      <c r="L3" s="2"/>
      <c r="M3" s="2"/>
      <c r="N3" s="2"/>
      <c r="O3" s="2"/>
      <c r="P3" s="2"/>
      <c r="Q3" s="2"/>
      <c r="R3" s="2"/>
      <c r="S3" s="2"/>
      <c r="T3" s="2"/>
      <c r="U3" s="2"/>
      <c r="V3" s="2"/>
    </row>
    <row r="4" spans="1:46" ht="21.75" customHeight="1">
      <c r="A4" s="2"/>
      <c r="B4" s="2" t="s">
        <v>267</v>
      </c>
      <c r="C4" s="2"/>
      <c r="D4" s="2"/>
      <c r="E4" s="2"/>
      <c r="F4" s="2"/>
      <c r="G4" s="2"/>
      <c r="H4" s="2"/>
      <c r="I4" s="2"/>
      <c r="J4" s="2"/>
      <c r="K4" s="2"/>
      <c r="L4" s="2"/>
      <c r="M4" s="2"/>
      <c r="N4" s="2"/>
      <c r="O4" s="2"/>
      <c r="P4" s="2"/>
      <c r="Q4" s="2"/>
      <c r="R4" s="2"/>
      <c r="S4" s="2"/>
      <c r="T4" s="2"/>
      <c r="U4" s="2"/>
      <c r="V4" s="2"/>
      <c r="AB4" s="202" t="s">
        <v>91</v>
      </c>
      <c r="AC4" s="202" t="s">
        <v>92</v>
      </c>
    </row>
    <row r="5" spans="1:46" ht="21.75" customHeight="1">
      <c r="A5" s="2"/>
      <c r="B5" s="2"/>
      <c r="C5" s="2"/>
      <c r="D5" s="2"/>
      <c r="E5" s="2"/>
      <c r="F5" s="2"/>
      <c r="G5" s="2"/>
      <c r="H5" s="2"/>
      <c r="I5" s="2"/>
      <c r="J5" s="2"/>
      <c r="K5" s="2"/>
      <c r="L5" s="2"/>
      <c r="M5" s="2"/>
      <c r="N5" s="2"/>
      <c r="O5" s="2"/>
      <c r="P5" s="2"/>
      <c r="Q5" s="2"/>
      <c r="R5" s="2"/>
      <c r="S5" s="2"/>
      <c r="T5" s="2"/>
      <c r="U5" s="2"/>
      <c r="V5" s="2"/>
      <c r="AB5" s="203" t="s">
        <v>85</v>
      </c>
      <c r="AC5" s="203" t="s">
        <v>90</v>
      </c>
    </row>
    <row r="6" spans="1:46" ht="32.25" customHeight="1">
      <c r="A6" s="2"/>
      <c r="B6" s="2"/>
      <c r="C6" s="2"/>
      <c r="D6" s="2"/>
      <c r="E6" s="2"/>
      <c r="F6" s="2"/>
      <c r="G6" s="2"/>
      <c r="H6" s="2"/>
      <c r="I6" s="2"/>
      <c r="J6" s="2"/>
      <c r="K6" s="2"/>
      <c r="L6" s="2"/>
      <c r="M6" s="124" t="s">
        <v>37</v>
      </c>
      <c r="N6" s="124"/>
      <c r="O6" s="124"/>
      <c r="P6" s="124"/>
      <c r="Q6" s="161"/>
      <c r="R6" s="124"/>
      <c r="S6" s="124"/>
      <c r="T6" s="124"/>
      <c r="U6" s="124"/>
      <c r="V6" s="2"/>
      <c r="AB6" s="203" t="s">
        <v>93</v>
      </c>
      <c r="AC6" s="203" t="s">
        <v>85</v>
      </c>
    </row>
    <row r="7" spans="1:46" ht="32.25" customHeight="1">
      <c r="A7" s="2"/>
      <c r="B7" s="2"/>
      <c r="C7" s="2"/>
      <c r="D7" s="2"/>
      <c r="E7" s="2"/>
      <c r="F7" s="2"/>
      <c r="G7" s="2"/>
      <c r="H7" s="2"/>
      <c r="I7" s="2"/>
      <c r="J7" s="2"/>
      <c r="K7" s="2"/>
      <c r="L7" s="2"/>
      <c r="M7" s="125" t="s">
        <v>38</v>
      </c>
      <c r="N7" s="125"/>
      <c r="O7" s="125"/>
      <c r="P7" s="125"/>
      <c r="Q7" s="162"/>
      <c r="R7" s="125"/>
      <c r="S7" s="125"/>
      <c r="T7" s="125"/>
      <c r="U7" s="125"/>
      <c r="V7" s="2"/>
      <c r="AB7" s="203" t="s">
        <v>96</v>
      </c>
      <c r="AC7" s="203" t="s">
        <v>93</v>
      </c>
    </row>
    <row r="8" spans="1:46" ht="21.75" customHeight="1">
      <c r="AC8" s="203" t="s">
        <v>96</v>
      </c>
    </row>
    <row r="9" spans="1:46" ht="21.75" customHeight="1">
      <c r="A9" s="5" t="s">
        <v>268</v>
      </c>
      <c r="B9" s="5"/>
      <c r="C9" s="5"/>
      <c r="D9" s="5"/>
      <c r="E9" s="5"/>
      <c r="F9" s="5"/>
      <c r="G9" s="5"/>
      <c r="H9" s="5"/>
      <c r="I9" s="5"/>
      <c r="J9" s="5"/>
      <c r="K9" s="5"/>
      <c r="L9" s="5"/>
      <c r="M9" s="5"/>
      <c r="N9" s="5"/>
      <c r="O9" s="5"/>
      <c r="P9" s="5"/>
      <c r="Q9" s="5"/>
      <c r="R9" s="5"/>
      <c r="S9" s="5"/>
      <c r="T9" s="5"/>
      <c r="U9" s="5"/>
      <c r="V9" s="5"/>
      <c r="W9" s="5"/>
    </row>
    <row r="10" spans="1:46" ht="21.75" customHeight="1"/>
    <row r="11" spans="1:46" s="2" customFormat="1" ht="21.75" customHeight="1">
      <c r="A11" s="2" t="s">
        <v>20</v>
      </c>
      <c r="Y11" s="2" t="s">
        <v>20</v>
      </c>
    </row>
    <row r="12" spans="1:46" s="2" customFormat="1" ht="21.75" customHeight="1">
      <c r="A12" s="2" t="s">
        <v>42</v>
      </c>
      <c r="Y12" s="2" t="s">
        <v>42</v>
      </c>
    </row>
    <row r="13" spans="1:46" s="2" customFormat="1" ht="21.75" customHeight="1">
      <c r="B13" s="10"/>
      <c r="C13" s="10"/>
      <c r="D13" s="10"/>
      <c r="E13" s="10"/>
      <c r="F13" s="10"/>
      <c r="G13" s="10"/>
      <c r="H13" s="10"/>
      <c r="I13" s="10" t="s">
        <v>43</v>
      </c>
      <c r="J13" s="10"/>
      <c r="K13" s="10"/>
      <c r="L13" s="10"/>
      <c r="M13" s="10"/>
      <c r="N13" s="10"/>
      <c r="O13" s="10"/>
      <c r="P13" s="10" t="s">
        <v>6</v>
      </c>
      <c r="Q13" s="10"/>
      <c r="R13" s="10"/>
      <c r="S13" s="10"/>
      <c r="T13" s="10"/>
      <c r="U13" s="10"/>
      <c r="V13" s="10"/>
      <c r="Z13" s="10"/>
      <c r="AA13" s="10"/>
      <c r="AB13" s="10"/>
      <c r="AC13" s="10"/>
      <c r="AD13" s="10"/>
      <c r="AE13" s="10"/>
      <c r="AF13" s="10"/>
      <c r="AG13" s="10" t="s">
        <v>43</v>
      </c>
      <c r="AH13" s="10"/>
      <c r="AI13" s="10"/>
      <c r="AJ13" s="10"/>
      <c r="AK13" s="10"/>
      <c r="AL13" s="10"/>
      <c r="AM13" s="10"/>
      <c r="AN13" s="10" t="s">
        <v>6</v>
      </c>
      <c r="AO13" s="10"/>
      <c r="AP13" s="10"/>
      <c r="AQ13" s="10"/>
      <c r="AR13" s="10"/>
      <c r="AS13" s="10"/>
      <c r="AT13" s="10"/>
    </row>
    <row r="14" spans="1:46" s="2" customFormat="1" ht="21.75" customHeight="1">
      <c r="B14" s="10"/>
      <c r="C14" s="10"/>
      <c r="D14" s="10"/>
      <c r="E14" s="10"/>
      <c r="F14" s="10"/>
      <c r="G14" s="10"/>
      <c r="H14" s="10"/>
      <c r="I14" s="10"/>
      <c r="J14" s="10"/>
      <c r="K14" s="10"/>
      <c r="L14" s="10"/>
      <c r="M14" s="10"/>
      <c r="N14" s="10"/>
      <c r="O14" s="10"/>
      <c r="P14" s="10"/>
      <c r="Q14" s="10"/>
      <c r="R14" s="10"/>
      <c r="S14" s="10"/>
      <c r="T14" s="10"/>
      <c r="U14" s="10"/>
      <c r="V14" s="10"/>
      <c r="Z14" s="10"/>
      <c r="AA14" s="10"/>
      <c r="AB14" s="10"/>
      <c r="AC14" s="10"/>
      <c r="AD14" s="10"/>
      <c r="AE14" s="10"/>
      <c r="AF14" s="10"/>
      <c r="AG14" s="10"/>
      <c r="AH14" s="10"/>
      <c r="AI14" s="10"/>
      <c r="AJ14" s="10"/>
      <c r="AK14" s="10"/>
      <c r="AL14" s="10"/>
      <c r="AM14" s="10"/>
      <c r="AN14" s="10"/>
      <c r="AO14" s="10"/>
      <c r="AP14" s="10"/>
      <c r="AQ14" s="10"/>
      <c r="AR14" s="10"/>
      <c r="AS14" s="10"/>
      <c r="AT14" s="10"/>
    </row>
    <row r="15" spans="1:46" s="2" customFormat="1" ht="31.5" customHeight="1">
      <c r="B15" s="11" t="s">
        <v>19</v>
      </c>
      <c r="C15" s="34"/>
      <c r="D15" s="34"/>
      <c r="E15" s="34"/>
      <c r="F15" s="34"/>
      <c r="G15" s="34"/>
      <c r="H15" s="72"/>
      <c r="I15" s="82">
        <f>AG15</f>
        <v>882000</v>
      </c>
      <c r="J15" s="97"/>
      <c r="K15" s="97"/>
      <c r="L15" s="97"/>
      <c r="M15" s="97"/>
      <c r="N15" s="97"/>
      <c r="O15" s="140"/>
      <c r="P15" s="149" t="str">
        <f>$AN$15</f>
        <v>面積・単価で按分</v>
      </c>
      <c r="Q15" s="163"/>
      <c r="R15" s="163"/>
      <c r="S15" s="163"/>
      <c r="T15" s="163"/>
      <c r="U15" s="163"/>
      <c r="V15" s="183"/>
      <c r="Z15" s="149" t="s">
        <v>19</v>
      </c>
      <c r="AA15" s="198"/>
      <c r="AB15" s="198"/>
      <c r="AC15" s="198"/>
      <c r="AD15" s="198"/>
      <c r="AE15" s="198"/>
      <c r="AF15" s="204"/>
      <c r="AG15" s="82">
        <f>'資料1.参加者及び面積'!$B$4</f>
        <v>882000</v>
      </c>
      <c r="AH15" s="97"/>
      <c r="AI15" s="97"/>
      <c r="AJ15" s="97"/>
      <c r="AK15" s="97"/>
      <c r="AL15" s="97"/>
      <c r="AM15" s="140"/>
      <c r="AN15" s="149" t="str">
        <f>'資料1.参加者及び面積'!$A$9</f>
        <v>面積・単価で按分</v>
      </c>
      <c r="AO15" s="163"/>
      <c r="AP15" s="163"/>
      <c r="AQ15" s="163"/>
      <c r="AR15" s="163"/>
      <c r="AS15" s="163"/>
      <c r="AT15" s="183"/>
    </row>
    <row r="16" spans="1:46" s="2" customFormat="1" ht="31.5" customHeight="1">
      <c r="B16" s="12" t="s">
        <v>34</v>
      </c>
      <c r="C16" s="35"/>
      <c r="D16" s="35"/>
      <c r="E16" s="35"/>
      <c r="F16" s="35"/>
      <c r="G16" s="35"/>
      <c r="H16" s="73"/>
      <c r="I16" s="83">
        <f>AG16</f>
        <v>3528000</v>
      </c>
      <c r="J16" s="98"/>
      <c r="K16" s="98"/>
      <c r="L16" s="98"/>
      <c r="M16" s="98"/>
      <c r="N16" s="98"/>
      <c r="O16" s="141"/>
      <c r="P16" s="149" t="str">
        <f>$AN$16</f>
        <v>均等割りで按分</v>
      </c>
      <c r="Q16" s="163"/>
      <c r="R16" s="163"/>
      <c r="S16" s="163"/>
      <c r="T16" s="163"/>
      <c r="U16" s="163"/>
      <c r="V16" s="183"/>
      <c r="Z16" s="150" t="s">
        <v>34</v>
      </c>
      <c r="AA16" s="164"/>
      <c r="AB16" s="164"/>
      <c r="AC16" s="164"/>
      <c r="AD16" s="164"/>
      <c r="AE16" s="164"/>
      <c r="AF16" s="184"/>
      <c r="AG16" s="83">
        <f>'資料1.参加者及び面積'!$B$5</f>
        <v>3528000</v>
      </c>
      <c r="AH16" s="98"/>
      <c r="AI16" s="98"/>
      <c r="AJ16" s="98"/>
      <c r="AK16" s="98"/>
      <c r="AL16" s="98"/>
      <c r="AM16" s="141"/>
      <c r="AN16" s="149" t="str">
        <f>'資料1.参加者及び面積'!$A$13</f>
        <v>均等割りで按分</v>
      </c>
      <c r="AO16" s="163"/>
      <c r="AP16" s="163"/>
      <c r="AQ16" s="163"/>
      <c r="AR16" s="163"/>
      <c r="AS16" s="163"/>
      <c r="AT16" s="183"/>
    </row>
    <row r="17" spans="1:46" s="2" customFormat="1" ht="31.5" customHeight="1">
      <c r="B17" s="13" t="s">
        <v>95</v>
      </c>
      <c r="C17" s="36"/>
      <c r="D17" s="36"/>
      <c r="E17" s="36"/>
      <c r="F17" s="36"/>
      <c r="G17" s="36"/>
      <c r="H17" s="63"/>
      <c r="I17" s="84">
        <f>SUM(I15:O16)</f>
        <v>4410000</v>
      </c>
      <c r="J17" s="99"/>
      <c r="K17" s="99"/>
      <c r="L17" s="99"/>
      <c r="M17" s="99"/>
      <c r="N17" s="99"/>
      <c r="O17" s="99"/>
      <c r="P17" s="26"/>
      <c r="Q17" s="26"/>
      <c r="R17" s="26"/>
      <c r="S17" s="26"/>
      <c r="T17" s="26"/>
      <c r="U17" s="26"/>
      <c r="V17" s="26"/>
      <c r="Z17" s="13" t="s">
        <v>95</v>
      </c>
      <c r="AA17" s="36"/>
      <c r="AB17" s="36"/>
      <c r="AC17" s="36"/>
      <c r="AD17" s="36"/>
      <c r="AE17" s="36"/>
      <c r="AF17" s="63"/>
      <c r="AG17" s="84">
        <f>SUM(AG15:AM16)</f>
        <v>4410000</v>
      </c>
      <c r="AH17" s="99"/>
      <c r="AI17" s="99"/>
      <c r="AJ17" s="99"/>
      <c r="AK17" s="99"/>
      <c r="AL17" s="99"/>
      <c r="AM17" s="99"/>
      <c r="AN17" s="26"/>
      <c r="AO17" s="26"/>
      <c r="AP17" s="26"/>
      <c r="AQ17" s="26"/>
      <c r="AR17" s="26"/>
      <c r="AS17" s="26"/>
      <c r="AT17" s="26"/>
    </row>
    <row r="18" spans="1:46" s="2" customFormat="1" ht="21.75" customHeight="1">
      <c r="B18" s="14"/>
      <c r="C18" s="14"/>
      <c r="D18" s="14"/>
      <c r="E18" s="14"/>
      <c r="F18" s="14"/>
      <c r="G18" s="14"/>
      <c r="H18" s="14"/>
      <c r="I18" s="85"/>
      <c r="J18" s="85"/>
      <c r="K18" s="85"/>
      <c r="L18" s="85"/>
      <c r="M18" s="85"/>
      <c r="N18" s="85"/>
      <c r="O18" s="85"/>
      <c r="P18" s="26"/>
      <c r="Q18" s="26"/>
      <c r="R18" s="26"/>
      <c r="S18" s="26"/>
      <c r="T18" s="26"/>
      <c r="U18" s="26"/>
      <c r="V18" s="26"/>
      <c r="Z18" s="14"/>
      <c r="AA18" s="14"/>
      <c r="AB18" s="14"/>
      <c r="AC18" s="14"/>
      <c r="AD18" s="14"/>
      <c r="AE18" s="14"/>
      <c r="AF18" s="14"/>
      <c r="AG18" s="85"/>
      <c r="AH18" s="85"/>
      <c r="AI18" s="85"/>
      <c r="AJ18" s="85"/>
      <c r="AK18" s="85"/>
      <c r="AL18" s="85"/>
      <c r="AM18" s="85"/>
      <c r="AN18" s="26"/>
      <c r="AO18" s="26"/>
      <c r="AP18" s="26"/>
      <c r="AQ18" s="26"/>
      <c r="AR18" s="26"/>
      <c r="AS18" s="26"/>
      <c r="AT18" s="26"/>
    </row>
    <row r="19" spans="1:46" s="2" customFormat="1" ht="21.75" customHeight="1"/>
    <row r="20" spans="1:46" s="2" customFormat="1" ht="21.75" customHeight="1">
      <c r="A20" s="2" t="s">
        <v>44</v>
      </c>
      <c r="Y20" s="2" t="s">
        <v>44</v>
      </c>
    </row>
    <row r="21" spans="1:46" s="2" customFormat="1" ht="21.75" customHeight="1">
      <c r="B21" s="10" t="s">
        <v>45</v>
      </c>
      <c r="C21" s="10"/>
      <c r="D21" s="10"/>
      <c r="E21" s="10"/>
      <c r="F21" s="10"/>
      <c r="G21" s="10"/>
      <c r="H21" s="10"/>
      <c r="I21" s="10"/>
      <c r="J21" s="10" t="s">
        <v>48</v>
      </c>
      <c r="K21" s="10"/>
      <c r="L21" s="10"/>
      <c r="M21" s="10"/>
      <c r="N21" s="10"/>
      <c r="O21" s="10"/>
      <c r="P21" s="10" t="s">
        <v>49</v>
      </c>
      <c r="Q21" s="10"/>
      <c r="R21" s="10"/>
      <c r="S21" s="10"/>
      <c r="T21" s="10"/>
      <c r="U21" s="10"/>
      <c r="V21" s="10"/>
      <c r="Z21" s="10" t="s">
        <v>45</v>
      </c>
      <c r="AA21" s="10"/>
      <c r="AB21" s="10"/>
      <c r="AC21" s="10"/>
      <c r="AD21" s="10"/>
      <c r="AE21" s="10"/>
      <c r="AF21" s="10"/>
      <c r="AG21" s="10"/>
      <c r="AH21" s="10" t="s">
        <v>48</v>
      </c>
      <c r="AI21" s="10"/>
      <c r="AJ21" s="10"/>
      <c r="AK21" s="10"/>
      <c r="AL21" s="10"/>
      <c r="AM21" s="10"/>
      <c r="AN21" s="10" t="s">
        <v>49</v>
      </c>
      <c r="AO21" s="10"/>
      <c r="AP21" s="10"/>
      <c r="AQ21" s="10"/>
      <c r="AR21" s="10"/>
      <c r="AS21" s="10"/>
      <c r="AT21" s="10"/>
    </row>
    <row r="22" spans="1:46" s="2" customFormat="1" ht="21.75" customHeight="1">
      <c r="B22" s="10"/>
      <c r="C22" s="10"/>
      <c r="D22" s="10"/>
      <c r="E22" s="10"/>
      <c r="F22" s="10"/>
      <c r="G22" s="10"/>
      <c r="H22" s="10"/>
      <c r="I22" s="10"/>
      <c r="J22" s="10"/>
      <c r="K22" s="10"/>
      <c r="L22" s="10"/>
      <c r="M22" s="10"/>
      <c r="N22" s="10"/>
      <c r="O22" s="10"/>
      <c r="P22" s="10"/>
      <c r="Q22" s="10"/>
      <c r="R22" s="10"/>
      <c r="S22" s="10"/>
      <c r="T22" s="10"/>
      <c r="U22" s="10"/>
      <c r="V22" s="10"/>
      <c r="Z22" s="10"/>
      <c r="AA22" s="10"/>
      <c r="AB22" s="10"/>
      <c r="AC22" s="10"/>
      <c r="AD22" s="10"/>
      <c r="AE22" s="10"/>
      <c r="AF22" s="10"/>
      <c r="AG22" s="10"/>
      <c r="AH22" s="10"/>
      <c r="AI22" s="10"/>
      <c r="AJ22" s="10"/>
      <c r="AK22" s="10"/>
      <c r="AL22" s="10"/>
      <c r="AM22" s="10"/>
      <c r="AN22" s="10"/>
      <c r="AO22" s="10"/>
      <c r="AP22" s="10"/>
      <c r="AQ22" s="10"/>
      <c r="AR22" s="10"/>
      <c r="AS22" s="10"/>
      <c r="AT22" s="10"/>
    </row>
    <row r="23" spans="1:46" s="2" customFormat="1" ht="22.5" customHeight="1">
      <c r="B23" s="15" t="s">
        <v>29</v>
      </c>
      <c r="C23" s="37"/>
      <c r="D23" s="37"/>
      <c r="E23" s="37"/>
      <c r="F23" s="37"/>
      <c r="G23" s="37"/>
      <c r="H23" s="37"/>
      <c r="I23" s="86"/>
      <c r="J23" s="83">
        <f>AH23</f>
        <v>10000</v>
      </c>
      <c r="K23" s="116"/>
      <c r="L23" s="116"/>
      <c r="M23" s="116"/>
      <c r="N23" s="116"/>
      <c r="O23" s="142"/>
      <c r="P23" s="150" t="str">
        <f>AN23</f>
        <v>役員報酬</v>
      </c>
      <c r="Q23" s="164"/>
      <c r="R23" s="164"/>
      <c r="S23" s="164"/>
      <c r="T23" s="164"/>
      <c r="U23" s="164"/>
      <c r="V23" s="184"/>
      <c r="Z23" s="15" t="s">
        <v>29</v>
      </c>
      <c r="AA23" s="37"/>
      <c r="AB23" s="37"/>
      <c r="AC23" s="37"/>
      <c r="AD23" s="37"/>
      <c r="AE23" s="37"/>
      <c r="AF23" s="37"/>
      <c r="AG23" s="86"/>
      <c r="AH23" s="83">
        <f>'資料2.内訳'!$B$24</f>
        <v>10000</v>
      </c>
      <c r="AI23" s="116"/>
      <c r="AJ23" s="116"/>
      <c r="AK23" s="116"/>
      <c r="AL23" s="116"/>
      <c r="AM23" s="142"/>
      <c r="AN23" s="150" t="str">
        <f>IF(ISBLANK('資料2.内訳'!A4),"",'資料2.内訳'!A4)</f>
        <v>役員報酬</v>
      </c>
      <c r="AO23" s="164"/>
      <c r="AP23" s="164"/>
      <c r="AQ23" s="164"/>
      <c r="AR23" s="164"/>
      <c r="AS23" s="164"/>
      <c r="AT23" s="184"/>
    </row>
    <row r="24" spans="1:46" s="2" customFormat="1" ht="22.5" customHeight="1">
      <c r="B24" s="16"/>
      <c r="C24" s="38"/>
      <c r="D24" s="38"/>
      <c r="E24" s="38"/>
      <c r="F24" s="38"/>
      <c r="G24" s="38"/>
      <c r="H24" s="38"/>
      <c r="I24" s="87"/>
      <c r="J24" s="100"/>
      <c r="K24" s="117"/>
      <c r="L24" s="117"/>
      <c r="M24" s="117"/>
      <c r="N24" s="117"/>
      <c r="O24" s="143"/>
      <c r="P24" s="151" t="str">
        <f>AN24</f>
        <v/>
      </c>
      <c r="Q24" s="14"/>
      <c r="R24" s="14"/>
      <c r="S24" s="14"/>
      <c r="T24" s="14"/>
      <c r="U24" s="14"/>
      <c r="V24" s="185"/>
      <c r="Z24" s="16"/>
      <c r="AA24" s="38"/>
      <c r="AB24" s="38"/>
      <c r="AC24" s="38"/>
      <c r="AD24" s="38"/>
      <c r="AE24" s="38"/>
      <c r="AF24" s="38"/>
      <c r="AG24" s="87"/>
      <c r="AH24" s="100"/>
      <c r="AI24" s="117"/>
      <c r="AJ24" s="117"/>
      <c r="AK24" s="117"/>
      <c r="AL24" s="117"/>
      <c r="AM24" s="143"/>
      <c r="AN24" s="151" t="str">
        <f>IF(ISBLANK('資料2.内訳'!A5),"",'資料2.内訳'!A5)</f>
        <v/>
      </c>
      <c r="AO24" s="14"/>
      <c r="AP24" s="14"/>
      <c r="AQ24" s="14"/>
      <c r="AR24" s="14"/>
      <c r="AS24" s="14"/>
      <c r="AT24" s="185"/>
    </row>
    <row r="25" spans="1:46" s="2" customFormat="1" ht="22.5" customHeight="1">
      <c r="B25" s="17"/>
      <c r="C25" s="39"/>
      <c r="D25" s="39"/>
      <c r="E25" s="39"/>
      <c r="F25" s="39"/>
      <c r="G25" s="39"/>
      <c r="H25" s="39"/>
      <c r="I25" s="88"/>
      <c r="J25" s="101"/>
      <c r="K25" s="118"/>
      <c r="L25" s="118"/>
      <c r="M25" s="118"/>
      <c r="N25" s="118"/>
      <c r="O25" s="144"/>
      <c r="P25" s="152">
        <v>0</v>
      </c>
      <c r="Q25" s="165"/>
      <c r="R25" s="165"/>
      <c r="S25" s="165"/>
      <c r="T25" s="165"/>
      <c r="U25" s="165"/>
      <c r="V25" s="186"/>
      <c r="Z25" s="22"/>
      <c r="AA25" s="45"/>
      <c r="AB25" s="45"/>
      <c r="AC25" s="45"/>
      <c r="AD25" s="45"/>
      <c r="AE25" s="45"/>
      <c r="AF25" s="45"/>
      <c r="AG25" s="93"/>
      <c r="AH25" s="208"/>
      <c r="AI25" s="210"/>
      <c r="AJ25" s="210"/>
      <c r="AK25" s="210"/>
      <c r="AL25" s="210"/>
      <c r="AM25" s="214"/>
      <c r="AN25" s="154" t="str">
        <f>IF(ISBLANK('資料2.内訳'!A6),"",IF(ISBLANK('資料2.内訳'!A7),'資料2.内訳'!A6,'資料2.内訳'!A6&amp;"ほか"))</f>
        <v/>
      </c>
      <c r="AO25" s="167"/>
      <c r="AP25" s="167"/>
      <c r="AQ25" s="167"/>
      <c r="AR25" s="167"/>
      <c r="AS25" s="167"/>
      <c r="AT25" s="188"/>
    </row>
    <row r="26" spans="1:46" s="2" customFormat="1" ht="22.5" customHeight="1">
      <c r="B26" s="18" t="s">
        <v>113</v>
      </c>
      <c r="C26" s="40"/>
      <c r="D26" s="40"/>
      <c r="E26" s="40"/>
      <c r="F26" s="40"/>
      <c r="G26" s="40"/>
      <c r="H26" s="40"/>
      <c r="I26" s="89"/>
      <c r="J26" s="102">
        <f>AH26</f>
        <v>7920000</v>
      </c>
      <c r="K26" s="119"/>
      <c r="L26" s="119"/>
      <c r="M26" s="119"/>
      <c r="N26" s="119"/>
      <c r="O26" s="145"/>
      <c r="P26" s="153" t="str">
        <f t="shared" ref="P26:P40" si="0">AN26</f>
        <v>トラクタA</v>
      </c>
      <c r="Q26" s="166"/>
      <c r="R26" s="166"/>
      <c r="S26" s="166"/>
      <c r="T26" s="166"/>
      <c r="U26" s="166"/>
      <c r="V26" s="187"/>
      <c r="Z26" s="15" t="s">
        <v>113</v>
      </c>
      <c r="AA26" s="37"/>
      <c r="AB26" s="37"/>
      <c r="AC26" s="37"/>
      <c r="AD26" s="37"/>
      <c r="AE26" s="37"/>
      <c r="AF26" s="37"/>
      <c r="AG26" s="86"/>
      <c r="AH26" s="83">
        <f>'資料2.内訳'!$H$24</f>
        <v>7920000</v>
      </c>
      <c r="AI26" s="116"/>
      <c r="AJ26" s="116"/>
      <c r="AK26" s="116"/>
      <c r="AL26" s="116"/>
      <c r="AM26" s="142"/>
      <c r="AN26" s="150" t="str">
        <f>IF(ISBLANK('資料2.内訳'!G4),"",'資料2.内訳'!G4)</f>
        <v>トラクタA</v>
      </c>
      <c r="AO26" s="164"/>
      <c r="AP26" s="164"/>
      <c r="AQ26" s="164"/>
      <c r="AR26" s="164"/>
      <c r="AS26" s="164"/>
      <c r="AT26" s="184"/>
    </row>
    <row r="27" spans="1:46" s="2" customFormat="1" ht="22.5" customHeight="1">
      <c r="B27" s="16"/>
      <c r="C27" s="38"/>
      <c r="D27" s="38"/>
      <c r="E27" s="38"/>
      <c r="F27" s="38"/>
      <c r="G27" s="38"/>
      <c r="H27" s="38"/>
      <c r="I27" s="87"/>
      <c r="J27" s="100"/>
      <c r="K27" s="117"/>
      <c r="L27" s="117"/>
      <c r="M27" s="117"/>
      <c r="N27" s="117"/>
      <c r="O27" s="143"/>
      <c r="P27" s="151" t="str">
        <f t="shared" si="0"/>
        <v>コンバイン</v>
      </c>
      <c r="Q27" s="14"/>
      <c r="R27" s="14"/>
      <c r="S27" s="14"/>
      <c r="T27" s="14"/>
      <c r="U27" s="14"/>
      <c r="V27" s="185"/>
      <c r="Z27" s="16"/>
      <c r="AA27" s="38"/>
      <c r="AB27" s="38"/>
      <c r="AC27" s="38"/>
      <c r="AD27" s="38"/>
      <c r="AE27" s="38"/>
      <c r="AF27" s="38"/>
      <c r="AG27" s="87"/>
      <c r="AH27" s="100"/>
      <c r="AI27" s="117"/>
      <c r="AJ27" s="117"/>
      <c r="AK27" s="117"/>
      <c r="AL27" s="117"/>
      <c r="AM27" s="143"/>
      <c r="AN27" s="151" t="str">
        <f>IF(ISBLANK('資料2.内訳'!G5),"",'資料2.内訳'!G5)</f>
        <v>コンバイン</v>
      </c>
      <c r="AO27" s="14"/>
      <c r="AP27" s="14"/>
      <c r="AQ27" s="14"/>
      <c r="AR27" s="14"/>
      <c r="AS27" s="14"/>
      <c r="AT27" s="185"/>
    </row>
    <row r="28" spans="1:46" s="2" customFormat="1" ht="22.5" customHeight="1">
      <c r="B28" s="17"/>
      <c r="C28" s="39"/>
      <c r="D28" s="39"/>
      <c r="E28" s="39"/>
      <c r="F28" s="39"/>
      <c r="G28" s="39"/>
      <c r="H28" s="39"/>
      <c r="I28" s="88"/>
      <c r="J28" s="101"/>
      <c r="K28" s="118"/>
      <c r="L28" s="118"/>
      <c r="M28" s="118"/>
      <c r="N28" s="118"/>
      <c r="O28" s="144"/>
      <c r="P28" s="152" t="str">
        <f t="shared" si="0"/>
        <v>トラクタBほか</v>
      </c>
      <c r="Q28" s="165"/>
      <c r="R28" s="165"/>
      <c r="S28" s="165"/>
      <c r="T28" s="165"/>
      <c r="U28" s="165"/>
      <c r="V28" s="186"/>
      <c r="Z28" s="22"/>
      <c r="AA28" s="45"/>
      <c r="AB28" s="45"/>
      <c r="AC28" s="45"/>
      <c r="AD28" s="45"/>
      <c r="AE28" s="45"/>
      <c r="AF28" s="45"/>
      <c r="AG28" s="93"/>
      <c r="AH28" s="208"/>
      <c r="AI28" s="210"/>
      <c r="AJ28" s="210"/>
      <c r="AK28" s="210"/>
      <c r="AL28" s="210"/>
      <c r="AM28" s="214"/>
      <c r="AN28" s="154" t="str">
        <f>IF(ISBLANK('資料2.内訳'!G6),"",IF(ISBLANK('資料2.内訳'!G7),'資料2.内訳'!G6,'資料2.内訳'!G6&amp;"ほか"))</f>
        <v>トラクタBほか</v>
      </c>
      <c r="AO28" s="167"/>
      <c r="AP28" s="167"/>
      <c r="AQ28" s="167"/>
      <c r="AR28" s="167"/>
      <c r="AS28" s="167"/>
      <c r="AT28" s="188"/>
    </row>
    <row r="29" spans="1:46" s="2" customFormat="1" ht="22.5" customHeight="1">
      <c r="B29" s="18" t="s">
        <v>115</v>
      </c>
      <c r="C29" s="40"/>
      <c r="D29" s="40"/>
      <c r="E29" s="40"/>
      <c r="F29" s="40"/>
      <c r="G29" s="40"/>
      <c r="H29" s="40"/>
      <c r="I29" s="89"/>
      <c r="J29" s="102">
        <f>AH29</f>
        <v>10000</v>
      </c>
      <c r="K29" s="119"/>
      <c r="L29" s="119"/>
      <c r="M29" s="119"/>
      <c r="N29" s="119"/>
      <c r="O29" s="145"/>
      <c r="P29" s="153" t="str">
        <f t="shared" si="0"/>
        <v>水路補修作業日当</v>
      </c>
      <c r="Q29" s="166"/>
      <c r="R29" s="166"/>
      <c r="S29" s="166"/>
      <c r="T29" s="166"/>
      <c r="U29" s="166"/>
      <c r="V29" s="187"/>
      <c r="Z29" s="15" t="s">
        <v>115</v>
      </c>
      <c r="AA29" s="37"/>
      <c r="AB29" s="37"/>
      <c r="AC29" s="37"/>
      <c r="AD29" s="37"/>
      <c r="AE29" s="37"/>
      <c r="AF29" s="37"/>
      <c r="AG29" s="86"/>
      <c r="AH29" s="83">
        <f>'資料2.内訳'!$N$24</f>
        <v>10000</v>
      </c>
      <c r="AI29" s="116"/>
      <c r="AJ29" s="116"/>
      <c r="AK29" s="116"/>
      <c r="AL29" s="116"/>
      <c r="AM29" s="142"/>
      <c r="AN29" s="150" t="str">
        <f>IF(ISBLANK('資料2.内訳'!M4),"",'資料2.内訳'!M4)</f>
        <v>水路補修作業日当</v>
      </c>
      <c r="AO29" s="164"/>
      <c r="AP29" s="164"/>
      <c r="AQ29" s="164"/>
      <c r="AR29" s="164"/>
      <c r="AS29" s="164"/>
      <c r="AT29" s="184"/>
    </row>
    <row r="30" spans="1:46" s="2" customFormat="1" ht="22.5" customHeight="1">
      <c r="B30" s="16"/>
      <c r="C30" s="38"/>
      <c r="D30" s="38"/>
      <c r="E30" s="38"/>
      <c r="F30" s="38"/>
      <c r="G30" s="38"/>
      <c r="H30" s="38"/>
      <c r="I30" s="87"/>
      <c r="J30" s="100"/>
      <c r="K30" s="117"/>
      <c r="L30" s="117"/>
      <c r="M30" s="117"/>
      <c r="N30" s="117"/>
      <c r="O30" s="143"/>
      <c r="P30" s="151" t="str">
        <f t="shared" si="0"/>
        <v>水路泥上げ日当</v>
      </c>
      <c r="Q30" s="14"/>
      <c r="R30" s="14"/>
      <c r="S30" s="14"/>
      <c r="T30" s="14"/>
      <c r="U30" s="14"/>
      <c r="V30" s="185"/>
      <c r="Z30" s="16"/>
      <c r="AA30" s="38"/>
      <c r="AB30" s="38"/>
      <c r="AC30" s="38"/>
      <c r="AD30" s="38"/>
      <c r="AE30" s="38"/>
      <c r="AF30" s="38"/>
      <c r="AG30" s="87"/>
      <c r="AH30" s="100"/>
      <c r="AI30" s="117"/>
      <c r="AJ30" s="117"/>
      <c r="AK30" s="117"/>
      <c r="AL30" s="117"/>
      <c r="AM30" s="143"/>
      <c r="AN30" s="151" t="str">
        <f>IF(ISBLANK('資料2.内訳'!M5),"",'資料2.内訳'!M5)</f>
        <v>水路泥上げ日当</v>
      </c>
      <c r="AO30" s="14"/>
      <c r="AP30" s="14"/>
      <c r="AQ30" s="14"/>
      <c r="AR30" s="14"/>
      <c r="AS30" s="14"/>
      <c r="AT30" s="185"/>
    </row>
    <row r="31" spans="1:46" s="2" customFormat="1" ht="22.5" customHeight="1">
      <c r="B31" s="17"/>
      <c r="C31" s="39"/>
      <c r="D31" s="39"/>
      <c r="E31" s="39"/>
      <c r="F31" s="39"/>
      <c r="G31" s="39"/>
      <c r="H31" s="39"/>
      <c r="I31" s="88"/>
      <c r="J31" s="101"/>
      <c r="K31" s="118"/>
      <c r="L31" s="118"/>
      <c r="M31" s="118"/>
      <c r="N31" s="118"/>
      <c r="O31" s="144"/>
      <c r="P31" s="152" t="str">
        <f t="shared" si="0"/>
        <v/>
      </c>
      <c r="Q31" s="165"/>
      <c r="R31" s="165"/>
      <c r="S31" s="165"/>
      <c r="T31" s="165"/>
      <c r="U31" s="165"/>
      <c r="V31" s="186"/>
      <c r="Z31" s="22"/>
      <c r="AA31" s="45"/>
      <c r="AB31" s="45"/>
      <c r="AC31" s="45"/>
      <c r="AD31" s="45"/>
      <c r="AE31" s="45"/>
      <c r="AF31" s="45"/>
      <c r="AG31" s="93"/>
      <c r="AH31" s="208"/>
      <c r="AI31" s="210"/>
      <c r="AJ31" s="210"/>
      <c r="AK31" s="210"/>
      <c r="AL31" s="210"/>
      <c r="AM31" s="214"/>
      <c r="AN31" s="154" t="str">
        <f>IF(ISBLANK('資料2.内訳'!M6),"",IF(ISBLANK('資料2.内訳'!M7),'資料2.内訳'!M6,'資料2.内訳'!M6&amp;"ほか"))</f>
        <v/>
      </c>
      <c r="AO31" s="167"/>
      <c r="AP31" s="167"/>
      <c r="AQ31" s="167"/>
      <c r="AR31" s="167"/>
      <c r="AS31" s="167"/>
      <c r="AT31" s="188"/>
    </row>
    <row r="32" spans="1:46" s="2" customFormat="1" ht="22.5" customHeight="1">
      <c r="B32" s="19" t="s">
        <v>117</v>
      </c>
      <c r="C32" s="41"/>
      <c r="D32" s="41"/>
      <c r="E32" s="41"/>
      <c r="F32" s="41"/>
      <c r="G32" s="41"/>
      <c r="H32" s="41"/>
      <c r="I32" s="87"/>
      <c r="J32" s="103">
        <f>AH32</f>
        <v>50000</v>
      </c>
      <c r="K32" s="79"/>
      <c r="L32" s="79"/>
      <c r="M32" s="79"/>
      <c r="N32" s="79"/>
      <c r="O32" s="131"/>
      <c r="P32" s="151" t="str">
        <f t="shared" si="0"/>
        <v>ワイヤーメッシュ</v>
      </c>
      <c r="Q32" s="14"/>
      <c r="R32" s="14"/>
      <c r="S32" s="14"/>
      <c r="T32" s="173"/>
      <c r="U32" s="173"/>
      <c r="V32" s="185"/>
      <c r="Z32" s="15" t="s">
        <v>117</v>
      </c>
      <c r="AA32" s="37"/>
      <c r="AB32" s="37"/>
      <c r="AC32" s="37"/>
      <c r="AD32" s="37"/>
      <c r="AE32" s="37"/>
      <c r="AF32" s="37"/>
      <c r="AG32" s="86"/>
      <c r="AH32" s="83">
        <f>'資料2.内訳'!$B$49</f>
        <v>50000</v>
      </c>
      <c r="AI32" s="116"/>
      <c r="AJ32" s="116"/>
      <c r="AK32" s="116"/>
      <c r="AL32" s="116"/>
      <c r="AM32" s="142"/>
      <c r="AN32" s="150" t="str">
        <f>IF(ISBLANK('資料2.内訳'!A29),"",'資料2.内訳'!A29)</f>
        <v>ワイヤーメッシュ</v>
      </c>
      <c r="AO32" s="164"/>
      <c r="AP32" s="164"/>
      <c r="AQ32" s="164"/>
      <c r="AR32" s="164"/>
      <c r="AS32" s="164"/>
      <c r="AT32" s="184"/>
    </row>
    <row r="33" spans="2:46" s="2" customFormat="1" ht="22.5" customHeight="1">
      <c r="B33" s="16"/>
      <c r="C33" s="41"/>
      <c r="D33" s="41"/>
      <c r="E33" s="41"/>
      <c r="F33" s="41"/>
      <c r="G33" s="41"/>
      <c r="H33" s="41"/>
      <c r="I33" s="87"/>
      <c r="J33" s="100"/>
      <c r="K33" s="9"/>
      <c r="L33" s="9"/>
      <c r="M33" s="9"/>
      <c r="N33" s="9"/>
      <c r="O33" s="143"/>
      <c r="P33" s="151" t="str">
        <f t="shared" si="0"/>
        <v/>
      </c>
      <c r="Q33" s="14"/>
      <c r="R33" s="14"/>
      <c r="S33" s="14"/>
      <c r="T33" s="173"/>
      <c r="U33" s="173"/>
      <c r="V33" s="185"/>
      <c r="Z33" s="16"/>
      <c r="AA33" s="38"/>
      <c r="AB33" s="38"/>
      <c r="AC33" s="38"/>
      <c r="AD33" s="38"/>
      <c r="AE33" s="38"/>
      <c r="AF33" s="38"/>
      <c r="AG33" s="87"/>
      <c r="AH33" s="100"/>
      <c r="AI33" s="117"/>
      <c r="AJ33" s="117"/>
      <c r="AK33" s="117"/>
      <c r="AL33" s="117"/>
      <c r="AM33" s="143"/>
      <c r="AN33" s="151" t="str">
        <f>IF(ISBLANK('資料2.内訳'!A30),"",'資料2.内訳'!A30)</f>
        <v/>
      </c>
      <c r="AO33" s="14"/>
      <c r="AP33" s="14"/>
      <c r="AQ33" s="14"/>
      <c r="AR33" s="14"/>
      <c r="AS33" s="14"/>
      <c r="AT33" s="185"/>
    </row>
    <row r="34" spans="2:46" s="2" customFormat="1" ht="22.5" customHeight="1">
      <c r="B34" s="16"/>
      <c r="C34" s="41"/>
      <c r="D34" s="41"/>
      <c r="E34" s="41"/>
      <c r="F34" s="41"/>
      <c r="G34" s="41"/>
      <c r="H34" s="41"/>
      <c r="I34" s="87"/>
      <c r="J34" s="100"/>
      <c r="K34" s="9"/>
      <c r="L34" s="9"/>
      <c r="M34" s="9"/>
      <c r="N34" s="9"/>
      <c r="O34" s="143"/>
      <c r="P34" s="151" t="str">
        <f t="shared" si="0"/>
        <v/>
      </c>
      <c r="Q34" s="14"/>
      <c r="R34" s="14"/>
      <c r="S34" s="14"/>
      <c r="T34" s="173"/>
      <c r="U34" s="173"/>
      <c r="V34" s="185"/>
      <c r="Z34" s="22"/>
      <c r="AA34" s="45"/>
      <c r="AB34" s="45"/>
      <c r="AC34" s="45"/>
      <c r="AD34" s="45"/>
      <c r="AE34" s="45"/>
      <c r="AF34" s="45"/>
      <c r="AG34" s="93"/>
      <c r="AH34" s="208"/>
      <c r="AI34" s="210"/>
      <c r="AJ34" s="210"/>
      <c r="AK34" s="210"/>
      <c r="AL34" s="210"/>
      <c r="AM34" s="214"/>
      <c r="AN34" s="154" t="str">
        <f>IF(ISBLANK('資料2.内訳'!A31),"",IF(ISBLANK('資料2.内訳'!A32),'資料2.内訳'!A31,'資料2.内訳'!A31&amp;"ほか"))</f>
        <v/>
      </c>
      <c r="AO34" s="167"/>
      <c r="AP34" s="167"/>
      <c r="AQ34" s="167"/>
      <c r="AR34" s="167"/>
      <c r="AS34" s="167"/>
      <c r="AT34" s="188"/>
    </row>
    <row r="35" spans="2:46" s="2" customFormat="1" ht="22.5" customHeight="1">
      <c r="B35" s="18" t="s">
        <v>118</v>
      </c>
      <c r="C35" s="42"/>
      <c r="D35" s="42"/>
      <c r="E35" s="42"/>
      <c r="F35" s="42"/>
      <c r="G35" s="42"/>
      <c r="H35" s="42"/>
      <c r="I35" s="90"/>
      <c r="J35" s="102">
        <f>AH35</f>
        <v>5000</v>
      </c>
      <c r="K35" s="119"/>
      <c r="L35" s="119"/>
      <c r="M35" s="119"/>
      <c r="N35" s="119"/>
      <c r="O35" s="145"/>
      <c r="P35" s="153" t="str">
        <f t="shared" si="0"/>
        <v>耕作放棄地草刈日当</v>
      </c>
      <c r="Q35" s="166"/>
      <c r="R35" s="166"/>
      <c r="S35" s="166"/>
      <c r="T35" s="166"/>
      <c r="U35" s="166"/>
      <c r="V35" s="187"/>
      <c r="Z35" s="15" t="s">
        <v>118</v>
      </c>
      <c r="AA35" s="199"/>
      <c r="AB35" s="199"/>
      <c r="AC35" s="199"/>
      <c r="AD35" s="199"/>
      <c r="AE35" s="199"/>
      <c r="AF35" s="199"/>
      <c r="AG35" s="205"/>
      <c r="AH35" s="83">
        <f>'資料2.内訳'!$H$49</f>
        <v>5000</v>
      </c>
      <c r="AI35" s="116"/>
      <c r="AJ35" s="116"/>
      <c r="AK35" s="116"/>
      <c r="AL35" s="116"/>
      <c r="AM35" s="142"/>
      <c r="AN35" s="150" t="str">
        <f>IF(ISBLANK('資料2.内訳'!G29),"",'資料2.内訳'!G29)</f>
        <v>耕作放棄地草刈日当</v>
      </c>
      <c r="AO35" s="164"/>
      <c r="AP35" s="164"/>
      <c r="AQ35" s="164"/>
      <c r="AR35" s="164"/>
      <c r="AS35" s="164"/>
      <c r="AT35" s="184"/>
    </row>
    <row r="36" spans="2:46" s="2" customFormat="1" ht="22.5" customHeight="1">
      <c r="B36" s="20"/>
      <c r="C36" s="43"/>
      <c r="D36" s="43"/>
      <c r="E36" s="43"/>
      <c r="F36" s="43"/>
      <c r="G36" s="43"/>
      <c r="H36" s="43"/>
      <c r="I36" s="91"/>
      <c r="J36" s="100"/>
      <c r="K36" s="117"/>
      <c r="L36" s="117"/>
      <c r="M36" s="117"/>
      <c r="N36" s="117"/>
      <c r="O36" s="143"/>
      <c r="P36" s="151" t="str">
        <f t="shared" si="0"/>
        <v/>
      </c>
      <c r="Q36" s="14"/>
      <c r="R36" s="14"/>
      <c r="S36" s="14"/>
      <c r="T36" s="14"/>
      <c r="U36" s="14"/>
      <c r="V36" s="185"/>
      <c r="Z36" s="20"/>
      <c r="AA36" s="43"/>
      <c r="AB36" s="43"/>
      <c r="AC36" s="43"/>
      <c r="AD36" s="43"/>
      <c r="AE36" s="43"/>
      <c r="AF36" s="43"/>
      <c r="AG36" s="91"/>
      <c r="AH36" s="100"/>
      <c r="AI36" s="117"/>
      <c r="AJ36" s="117"/>
      <c r="AK36" s="117"/>
      <c r="AL36" s="117"/>
      <c r="AM36" s="143"/>
      <c r="AN36" s="151" t="str">
        <f>IF(ISBLANK('資料2.内訳'!G30),"",'資料2.内訳'!G30)</f>
        <v/>
      </c>
      <c r="AO36" s="14"/>
      <c r="AP36" s="14"/>
      <c r="AQ36" s="14"/>
      <c r="AR36" s="14"/>
      <c r="AS36" s="14"/>
      <c r="AT36" s="185"/>
    </row>
    <row r="37" spans="2:46" s="2" customFormat="1" ht="22.5" customHeight="1">
      <c r="B37" s="21"/>
      <c r="C37" s="44"/>
      <c r="D37" s="44"/>
      <c r="E37" s="44"/>
      <c r="F37" s="44"/>
      <c r="G37" s="44"/>
      <c r="H37" s="44"/>
      <c r="I37" s="92"/>
      <c r="J37" s="101"/>
      <c r="K37" s="118"/>
      <c r="L37" s="118"/>
      <c r="M37" s="118"/>
      <c r="N37" s="118"/>
      <c r="O37" s="144"/>
      <c r="P37" s="152" t="str">
        <f t="shared" si="0"/>
        <v/>
      </c>
      <c r="Q37" s="165"/>
      <c r="R37" s="165"/>
      <c r="S37" s="165"/>
      <c r="T37" s="165"/>
      <c r="U37" s="165"/>
      <c r="V37" s="186"/>
      <c r="Z37" s="196"/>
      <c r="AA37" s="200"/>
      <c r="AB37" s="200"/>
      <c r="AC37" s="200"/>
      <c r="AD37" s="200"/>
      <c r="AE37" s="200"/>
      <c r="AF37" s="200"/>
      <c r="AG37" s="206"/>
      <c r="AH37" s="208"/>
      <c r="AI37" s="210"/>
      <c r="AJ37" s="210"/>
      <c r="AK37" s="210"/>
      <c r="AL37" s="210"/>
      <c r="AM37" s="214"/>
      <c r="AN37" s="154" t="str">
        <f>IF(ISBLANK('資料2.内訳'!G31),"",IF(ISBLANK('資料2.内訳'!G32),'資料2.内訳'!G31,'資料2.内訳'!G31&amp;"ほか"))</f>
        <v/>
      </c>
      <c r="AO37" s="167"/>
      <c r="AP37" s="167"/>
      <c r="AQ37" s="167"/>
      <c r="AR37" s="167"/>
      <c r="AS37" s="167"/>
      <c r="AT37" s="188"/>
    </row>
    <row r="38" spans="2:46" s="2" customFormat="1" ht="22.5" customHeight="1">
      <c r="B38" s="19" t="s">
        <v>174</v>
      </c>
      <c r="C38" s="41"/>
      <c r="D38" s="41"/>
      <c r="E38" s="41"/>
      <c r="F38" s="41"/>
      <c r="G38" s="41"/>
      <c r="H38" s="41"/>
      <c r="I38" s="87"/>
      <c r="J38" s="103">
        <f>AH38</f>
        <v>5000</v>
      </c>
      <c r="K38" s="79"/>
      <c r="L38" s="79"/>
      <c r="M38" s="79"/>
      <c r="N38" s="79"/>
      <c r="O38" s="131"/>
      <c r="P38" s="151" t="str">
        <f t="shared" si="0"/>
        <v>事務消耗品</v>
      </c>
      <c r="Q38" s="14"/>
      <c r="R38" s="14"/>
      <c r="S38" s="14"/>
      <c r="T38" s="173"/>
      <c r="U38" s="173"/>
      <c r="V38" s="185"/>
      <c r="Z38" s="19" t="s">
        <v>28</v>
      </c>
      <c r="AA38" s="41"/>
      <c r="AB38" s="41"/>
      <c r="AC38" s="41"/>
      <c r="AD38" s="41"/>
      <c r="AE38" s="41"/>
      <c r="AF38" s="41"/>
      <c r="AG38" s="87"/>
      <c r="AH38" s="103">
        <f>'資料2.内訳'!$N$49</f>
        <v>5000</v>
      </c>
      <c r="AI38" s="79"/>
      <c r="AJ38" s="79"/>
      <c r="AK38" s="79"/>
      <c r="AL38" s="79"/>
      <c r="AM38" s="131"/>
      <c r="AN38" s="151" t="str">
        <f>IF(ISBLANK('資料2.内訳'!M29),"",'資料2.内訳'!M29)</f>
        <v>事務消耗品</v>
      </c>
      <c r="AO38" s="14"/>
      <c r="AP38" s="14"/>
      <c r="AQ38" s="14"/>
      <c r="AR38" s="173"/>
      <c r="AS38" s="173"/>
      <c r="AT38" s="185"/>
    </row>
    <row r="39" spans="2:46" s="2" customFormat="1" ht="22.5" customHeight="1">
      <c r="B39" s="16"/>
      <c r="C39" s="41"/>
      <c r="D39" s="41"/>
      <c r="E39" s="41"/>
      <c r="F39" s="41"/>
      <c r="G39" s="41"/>
      <c r="H39" s="41"/>
      <c r="I39" s="87"/>
      <c r="J39" s="100"/>
      <c r="K39" s="9"/>
      <c r="L39" s="9"/>
      <c r="M39" s="9"/>
      <c r="N39" s="9"/>
      <c r="O39" s="143"/>
      <c r="P39" s="151" t="str">
        <f t="shared" si="0"/>
        <v/>
      </c>
      <c r="Q39" s="14"/>
      <c r="R39" s="14"/>
      <c r="S39" s="14"/>
      <c r="T39" s="173"/>
      <c r="U39" s="173"/>
      <c r="V39" s="185"/>
      <c r="Z39" s="16"/>
      <c r="AA39" s="41"/>
      <c r="AB39" s="41"/>
      <c r="AC39" s="41"/>
      <c r="AD39" s="41"/>
      <c r="AE39" s="41"/>
      <c r="AF39" s="41"/>
      <c r="AG39" s="87"/>
      <c r="AH39" s="100"/>
      <c r="AI39" s="9"/>
      <c r="AJ39" s="9"/>
      <c r="AK39" s="9"/>
      <c r="AL39" s="9"/>
      <c r="AM39" s="143"/>
      <c r="AN39" s="151" t="str">
        <f>IF(ISBLANK('資料2.内訳'!M30),"",'資料2.内訳'!M30)</f>
        <v/>
      </c>
      <c r="AO39" s="14"/>
      <c r="AP39" s="14"/>
      <c r="AQ39" s="14"/>
      <c r="AR39" s="173"/>
      <c r="AS39" s="173"/>
      <c r="AT39" s="185"/>
    </row>
    <row r="40" spans="2:46" s="2" customFormat="1" ht="22.5" customHeight="1">
      <c r="B40" s="16"/>
      <c r="C40" s="41"/>
      <c r="D40" s="41"/>
      <c r="E40" s="41"/>
      <c r="F40" s="41"/>
      <c r="G40" s="41"/>
      <c r="H40" s="41"/>
      <c r="I40" s="87"/>
      <c r="J40" s="100"/>
      <c r="K40" s="9"/>
      <c r="L40" s="9"/>
      <c r="M40" s="9"/>
      <c r="N40" s="9"/>
      <c r="O40" s="143"/>
      <c r="P40" s="151" t="str">
        <f t="shared" si="0"/>
        <v/>
      </c>
      <c r="Q40" s="14"/>
      <c r="R40" s="14"/>
      <c r="S40" s="14"/>
      <c r="T40" s="173"/>
      <c r="U40" s="173"/>
      <c r="V40" s="185"/>
      <c r="Z40" s="16"/>
      <c r="AA40" s="41"/>
      <c r="AB40" s="41"/>
      <c r="AC40" s="41"/>
      <c r="AD40" s="41"/>
      <c r="AE40" s="41"/>
      <c r="AF40" s="41"/>
      <c r="AG40" s="87"/>
      <c r="AH40" s="100"/>
      <c r="AI40" s="9"/>
      <c r="AJ40" s="9"/>
      <c r="AK40" s="9"/>
      <c r="AL40" s="9"/>
      <c r="AM40" s="117"/>
      <c r="AN40" s="154" t="str">
        <f>IF(ISBLANK('資料2.内訳'!M31),"",IF(ISBLANK('資料2.内訳'!M32),'資料2.内訳'!M31,'資料2.内訳'!M31&amp;"ほか"))</f>
        <v/>
      </c>
      <c r="AO40" s="167"/>
      <c r="AP40" s="167"/>
      <c r="AQ40" s="167"/>
      <c r="AR40" s="167"/>
      <c r="AS40" s="167"/>
      <c r="AT40" s="188"/>
    </row>
    <row r="41" spans="2:46" s="2" customFormat="1" ht="22.5" hidden="1" customHeight="1">
      <c r="B41" s="22"/>
      <c r="C41" s="45"/>
      <c r="D41" s="45"/>
      <c r="E41" s="45"/>
      <c r="F41" s="45"/>
      <c r="G41" s="45"/>
      <c r="H41" s="45"/>
      <c r="I41" s="93"/>
      <c r="J41" s="104"/>
      <c r="K41" s="120"/>
      <c r="L41" s="120"/>
      <c r="M41" s="120"/>
      <c r="N41" s="120"/>
      <c r="O41" s="146"/>
      <c r="P41" s="154"/>
      <c r="Q41" s="167"/>
      <c r="R41" s="167"/>
      <c r="S41" s="167"/>
      <c r="T41" s="167"/>
      <c r="U41" s="167"/>
      <c r="V41" s="188"/>
      <c r="Z41" s="197"/>
      <c r="AA41" s="201"/>
      <c r="AB41" s="201"/>
      <c r="AC41" s="201"/>
      <c r="AD41" s="201"/>
      <c r="AE41" s="201"/>
      <c r="AF41" s="201"/>
      <c r="AG41" s="207"/>
      <c r="AH41" s="104"/>
      <c r="AI41" s="120"/>
      <c r="AJ41" s="120"/>
      <c r="AK41" s="120"/>
      <c r="AL41" s="120"/>
      <c r="AM41" s="146"/>
      <c r="AN41" s="25"/>
      <c r="AO41" s="47"/>
      <c r="AP41" s="47"/>
      <c r="AQ41" s="47"/>
      <c r="AR41" s="47"/>
      <c r="AS41" s="47"/>
      <c r="AT41" s="96"/>
    </row>
    <row r="42" spans="2:46" s="2" customFormat="1" ht="22.5" customHeight="1">
      <c r="B42" s="23" t="s">
        <v>63</v>
      </c>
      <c r="C42" s="46"/>
      <c r="D42" s="46"/>
      <c r="E42" s="46"/>
      <c r="F42" s="46"/>
      <c r="G42" s="46"/>
      <c r="H42" s="46"/>
      <c r="I42" s="94"/>
      <c r="J42" s="83">
        <f>SUM(J23:O41)</f>
        <v>8000000</v>
      </c>
      <c r="K42" s="121"/>
      <c r="L42" s="121"/>
      <c r="M42" s="121"/>
      <c r="N42" s="121"/>
      <c r="O42" s="147"/>
      <c r="P42" s="155" t="s">
        <v>210</v>
      </c>
      <c r="Q42" s="168"/>
      <c r="R42" s="168"/>
      <c r="S42" s="168"/>
      <c r="T42" s="174" t="s">
        <v>79</v>
      </c>
      <c r="U42" s="179"/>
      <c r="V42" s="189"/>
      <c r="Z42" s="23" t="s">
        <v>50</v>
      </c>
      <c r="AA42" s="46"/>
      <c r="AB42" s="46"/>
      <c r="AC42" s="46"/>
      <c r="AD42" s="46"/>
      <c r="AE42" s="46"/>
      <c r="AF42" s="46"/>
      <c r="AG42" s="94"/>
      <c r="AH42" s="83">
        <f>SUM(AH23:AM41)</f>
        <v>8000000</v>
      </c>
      <c r="AI42" s="121"/>
      <c r="AJ42" s="121"/>
      <c r="AK42" s="121"/>
      <c r="AL42" s="121"/>
      <c r="AM42" s="147"/>
      <c r="AN42" s="155"/>
      <c r="AO42" s="168"/>
      <c r="AP42" s="168"/>
      <c r="AQ42" s="168"/>
      <c r="AR42" s="168"/>
      <c r="AS42" s="168"/>
      <c r="AT42" s="218"/>
    </row>
    <row r="43" spans="2:46" s="2" customFormat="1" ht="22.5" customHeight="1">
      <c r="B43" s="24"/>
      <c r="C43" s="26"/>
      <c r="D43" s="26"/>
      <c r="E43" s="26"/>
      <c r="F43" s="26"/>
      <c r="G43" s="26"/>
      <c r="H43" s="26"/>
      <c r="I43" s="95"/>
      <c r="J43" s="105"/>
      <c r="K43" s="122"/>
      <c r="L43" s="122"/>
      <c r="M43" s="122"/>
      <c r="N43" s="122"/>
      <c r="O43" s="148"/>
      <c r="P43" s="156" t="s">
        <v>211</v>
      </c>
      <c r="Q43" s="169"/>
      <c r="R43" s="169"/>
      <c r="S43" s="169"/>
      <c r="T43" s="175">
        <v>5000000</v>
      </c>
      <c r="U43" s="180"/>
      <c r="V43" s="190"/>
      <c r="Z43" s="24"/>
      <c r="AA43" s="26"/>
      <c r="AB43" s="26"/>
      <c r="AC43" s="26"/>
      <c r="AD43" s="26"/>
      <c r="AE43" s="26"/>
      <c r="AF43" s="26"/>
      <c r="AG43" s="95"/>
      <c r="AH43" s="105"/>
      <c r="AI43" s="122"/>
      <c r="AJ43" s="122"/>
      <c r="AK43" s="122"/>
      <c r="AL43" s="122"/>
      <c r="AM43" s="148"/>
      <c r="AN43" s="156"/>
      <c r="AO43" s="216"/>
      <c r="AP43" s="216"/>
      <c r="AQ43" s="216"/>
      <c r="AR43" s="216"/>
      <c r="AS43" s="216"/>
      <c r="AT43" s="219"/>
    </row>
    <row r="44" spans="2:46" s="2" customFormat="1" ht="22.5" customHeight="1">
      <c r="B44" s="23" t="s">
        <v>209</v>
      </c>
      <c r="C44" s="46"/>
      <c r="D44" s="46"/>
      <c r="E44" s="46"/>
      <c r="F44" s="46"/>
      <c r="G44" s="46"/>
      <c r="H44" s="46"/>
      <c r="I44" s="94"/>
      <c r="J44" s="83">
        <f>I16-J42+T43</f>
        <v>528000</v>
      </c>
      <c r="K44" s="121"/>
      <c r="L44" s="121"/>
      <c r="M44" s="121"/>
      <c r="N44" s="121"/>
      <c r="O44" s="147"/>
      <c r="P44" s="155" t="str">
        <f>AN44</f>
        <v>　積立より支出</v>
      </c>
      <c r="Q44" s="170"/>
      <c r="R44" s="170"/>
      <c r="S44" s="170"/>
      <c r="T44" s="174" t="s">
        <v>260</v>
      </c>
      <c r="U44" s="179"/>
      <c r="V44" s="189"/>
      <c r="Z44" s="23" t="s">
        <v>32</v>
      </c>
      <c r="AA44" s="46"/>
      <c r="AB44" s="46"/>
      <c r="AC44" s="46"/>
      <c r="AD44" s="46"/>
      <c r="AE44" s="46"/>
      <c r="AF44" s="46"/>
      <c r="AG44" s="94"/>
      <c r="AH44" s="83">
        <f>AG16-AH42</f>
        <v>-4472000</v>
      </c>
      <c r="AI44" s="121"/>
      <c r="AJ44" s="121"/>
      <c r="AK44" s="121"/>
      <c r="AL44" s="121"/>
      <c r="AM44" s="147"/>
      <c r="AN44" s="155" t="str">
        <f>IF(AH44&gt;0,"　積立の目的",IF(AH44=0,"","　積立より支出"))</f>
        <v>　積立より支出</v>
      </c>
      <c r="AO44" s="168"/>
      <c r="AP44" s="168"/>
      <c r="AQ44" s="168"/>
      <c r="AR44" s="168"/>
      <c r="AS44" s="168"/>
      <c r="AT44" s="218"/>
    </row>
    <row r="45" spans="2:46" s="2" customFormat="1" ht="22.5" customHeight="1">
      <c r="B45" s="25"/>
      <c r="C45" s="47"/>
      <c r="D45" s="47"/>
      <c r="E45" s="47"/>
      <c r="F45" s="47"/>
      <c r="G45" s="47"/>
      <c r="H45" s="47"/>
      <c r="I45" s="96"/>
      <c r="J45" s="105"/>
      <c r="K45" s="122"/>
      <c r="L45" s="122"/>
      <c r="M45" s="122"/>
      <c r="N45" s="122"/>
      <c r="O45" s="148"/>
      <c r="P45" s="157"/>
      <c r="Q45" s="171"/>
      <c r="R45" s="171"/>
      <c r="S45" s="171"/>
      <c r="T45" s="176"/>
      <c r="U45" s="171"/>
      <c r="V45" s="191"/>
      <c r="Z45" s="25"/>
      <c r="AA45" s="47"/>
      <c r="AB45" s="47"/>
      <c r="AC45" s="47"/>
      <c r="AD45" s="47"/>
      <c r="AE45" s="47"/>
      <c r="AF45" s="47"/>
      <c r="AG45" s="96"/>
      <c r="AH45" s="105"/>
      <c r="AI45" s="122"/>
      <c r="AJ45" s="122"/>
      <c r="AK45" s="122"/>
      <c r="AL45" s="122"/>
      <c r="AM45" s="148"/>
      <c r="AN45" s="157"/>
      <c r="AO45" s="176"/>
      <c r="AP45" s="176"/>
      <c r="AQ45" s="176"/>
      <c r="AR45" s="176"/>
      <c r="AS45" s="176"/>
      <c r="AT45" s="220"/>
    </row>
    <row r="46" spans="2:46" s="2" customFormat="1" ht="22.5" customHeight="1">
      <c r="B46" s="26"/>
      <c r="C46" s="26"/>
      <c r="D46" s="26"/>
      <c r="E46" s="26"/>
      <c r="F46" s="26"/>
      <c r="G46" s="26"/>
      <c r="H46" s="26"/>
      <c r="I46" s="26"/>
      <c r="J46" s="106" t="s">
        <v>11</v>
      </c>
      <c r="K46" s="46"/>
      <c r="L46" s="46"/>
      <c r="M46" s="46"/>
      <c r="N46" s="46"/>
      <c r="O46" s="46"/>
      <c r="P46" s="155"/>
      <c r="Q46" s="170"/>
      <c r="R46" s="170"/>
      <c r="S46" s="170"/>
      <c r="T46" s="177"/>
      <c r="U46" s="181"/>
      <c r="V46" s="192"/>
      <c r="Z46" s="26"/>
      <c r="AA46" s="26"/>
      <c r="AB46" s="26"/>
      <c r="AC46" s="26"/>
      <c r="AD46" s="26"/>
      <c r="AE46" s="26"/>
      <c r="AF46" s="26"/>
      <c r="AG46" s="26"/>
      <c r="AH46" s="209" t="s">
        <v>51</v>
      </c>
      <c r="AI46" s="46"/>
      <c r="AJ46" s="46"/>
      <c r="AK46" s="46"/>
      <c r="AL46" s="46"/>
      <c r="AM46" s="94"/>
      <c r="AN46" s="155" t="s">
        <v>15</v>
      </c>
      <c r="AO46" s="168"/>
      <c r="AP46" s="168"/>
      <c r="AQ46" s="168"/>
      <c r="AR46" s="168"/>
      <c r="AS46" s="168"/>
      <c r="AT46" s="218"/>
    </row>
    <row r="47" spans="2:46" s="2" customFormat="1" ht="22.5" customHeight="1">
      <c r="B47" s="26"/>
      <c r="C47" s="26"/>
      <c r="D47" s="26"/>
      <c r="E47" s="26"/>
      <c r="F47" s="26"/>
      <c r="G47" s="26"/>
      <c r="H47" s="26"/>
      <c r="I47" s="26"/>
      <c r="J47" s="25"/>
      <c r="K47" s="47"/>
      <c r="L47" s="47"/>
      <c r="M47" s="47"/>
      <c r="N47" s="47"/>
      <c r="O47" s="96"/>
      <c r="P47" s="158" t="s">
        <v>88</v>
      </c>
      <c r="Q47" s="171"/>
      <c r="R47" s="171"/>
      <c r="S47" s="171"/>
      <c r="T47" s="178"/>
      <c r="U47" s="182"/>
      <c r="V47" s="193"/>
      <c r="Z47" s="26"/>
      <c r="AA47" s="26"/>
      <c r="AB47" s="26"/>
      <c r="AC47" s="26"/>
      <c r="AD47" s="26"/>
      <c r="AE47" s="26"/>
      <c r="AF47" s="26"/>
      <c r="AG47" s="26"/>
      <c r="AH47" s="25"/>
      <c r="AI47" s="47"/>
      <c r="AJ47" s="47"/>
      <c r="AK47" s="47"/>
      <c r="AL47" s="47"/>
      <c r="AM47" s="96"/>
      <c r="AN47" s="215">
        <v>0</v>
      </c>
      <c r="AO47" s="217"/>
      <c r="AP47" s="217"/>
      <c r="AQ47" s="217"/>
      <c r="AR47" s="217"/>
      <c r="AS47" s="217"/>
      <c r="AT47" s="221"/>
    </row>
    <row r="48" spans="2:46" ht="6" customHeight="1">
      <c r="B48" s="27"/>
      <c r="C48" s="27"/>
      <c r="D48" s="27"/>
      <c r="E48" s="27"/>
      <c r="F48" s="27"/>
      <c r="G48" s="27"/>
      <c r="H48" s="27"/>
      <c r="I48" s="27"/>
      <c r="J48" s="107"/>
      <c r="K48" s="107"/>
      <c r="L48" s="107"/>
      <c r="M48" s="107"/>
      <c r="N48" s="107"/>
      <c r="O48" s="107"/>
      <c r="P48" s="159"/>
      <c r="Q48" s="172"/>
      <c r="R48" s="172"/>
      <c r="S48" s="172"/>
      <c r="T48" s="172"/>
      <c r="U48" s="172"/>
      <c r="V48" s="172"/>
      <c r="Z48" s="27"/>
      <c r="AA48" s="27"/>
      <c r="AB48" s="27"/>
      <c r="AC48" s="27"/>
      <c r="AD48" s="27"/>
      <c r="AE48" s="27"/>
      <c r="AF48" s="27"/>
      <c r="AG48" s="27"/>
      <c r="AH48" s="107"/>
      <c r="AI48" s="107"/>
      <c r="AJ48" s="107"/>
      <c r="AK48" s="107"/>
      <c r="AL48" s="107"/>
      <c r="AM48" s="107"/>
      <c r="AN48" s="159"/>
      <c r="AO48" s="172"/>
      <c r="AP48" s="172"/>
      <c r="AQ48" s="172"/>
      <c r="AR48" s="172"/>
      <c r="AS48" s="172"/>
      <c r="AT48" s="172"/>
    </row>
    <row r="49" spans="1:49" ht="7.5" customHeight="1"/>
    <row r="50" spans="1:49" s="2" customFormat="1" ht="42.75" customHeight="1">
      <c r="A50" s="2" t="s">
        <v>47</v>
      </c>
      <c r="Y50" s="2" t="s">
        <v>97</v>
      </c>
    </row>
    <row r="51" spans="1:49" s="2" customFormat="1" ht="21.75" customHeight="1">
      <c r="B51" s="23" t="s">
        <v>60</v>
      </c>
      <c r="C51" s="48"/>
      <c r="D51" s="48"/>
      <c r="E51" s="48"/>
      <c r="F51" s="56"/>
      <c r="G51" s="63" t="s">
        <v>52</v>
      </c>
      <c r="H51" s="10"/>
      <c r="I51" s="10"/>
      <c r="J51" s="13"/>
      <c r="K51" s="123" t="s">
        <v>57</v>
      </c>
      <c r="L51" s="10"/>
      <c r="M51" s="10"/>
      <c r="N51" s="10"/>
      <c r="O51" s="10"/>
      <c r="P51" s="160"/>
      <c r="Q51" s="63" t="s">
        <v>58</v>
      </c>
      <c r="R51" s="10"/>
      <c r="S51" s="10"/>
      <c r="T51" s="10"/>
      <c r="U51" s="10"/>
      <c r="V51" s="10"/>
      <c r="Z51" s="23" t="s">
        <v>98</v>
      </c>
      <c r="AA51" s="48"/>
      <c r="AB51" s="48"/>
      <c r="AC51" s="48"/>
      <c r="AD51" s="56"/>
      <c r="AE51" s="63" t="s">
        <v>99</v>
      </c>
      <c r="AF51" s="10"/>
      <c r="AG51" s="10"/>
      <c r="AH51" s="13"/>
      <c r="AI51" s="123" t="s">
        <v>100</v>
      </c>
      <c r="AJ51" s="10"/>
      <c r="AK51" s="10"/>
      <c r="AL51" s="10"/>
      <c r="AM51" s="10"/>
      <c r="AN51" s="160"/>
      <c r="AO51" s="63" t="s">
        <v>102</v>
      </c>
      <c r="AP51" s="10"/>
      <c r="AQ51" s="10"/>
      <c r="AR51" s="10"/>
      <c r="AS51" s="10"/>
      <c r="AT51" s="10"/>
    </row>
    <row r="52" spans="1:49" s="2" customFormat="1" ht="21.75" customHeight="1">
      <c r="B52" s="28"/>
      <c r="C52" s="49"/>
      <c r="D52" s="49"/>
      <c r="E52" s="49"/>
      <c r="F52" s="57"/>
      <c r="G52" s="63" t="s">
        <v>25</v>
      </c>
      <c r="H52" s="10"/>
      <c r="I52" s="10"/>
      <c r="J52" s="13"/>
      <c r="K52" s="123" t="s">
        <v>83</v>
      </c>
      <c r="L52" s="10"/>
      <c r="M52" s="10"/>
      <c r="N52" s="10" t="s">
        <v>5</v>
      </c>
      <c r="O52" s="10"/>
      <c r="P52" s="160"/>
      <c r="Q52" s="63" t="s">
        <v>82</v>
      </c>
      <c r="R52" s="10"/>
      <c r="S52" s="10"/>
      <c r="T52" s="10" t="s">
        <v>5</v>
      </c>
      <c r="U52" s="10"/>
      <c r="V52" s="10"/>
      <c r="Z52" s="28"/>
      <c r="AA52" s="49"/>
      <c r="AB52" s="49"/>
      <c r="AC52" s="49"/>
      <c r="AD52" s="57"/>
      <c r="AE52" s="63" t="s">
        <v>103</v>
      </c>
      <c r="AF52" s="10"/>
      <c r="AG52" s="10"/>
      <c r="AH52" s="13"/>
      <c r="AI52" s="123" t="s">
        <v>104</v>
      </c>
      <c r="AJ52" s="10"/>
      <c r="AK52" s="10"/>
      <c r="AL52" s="10" t="s">
        <v>105</v>
      </c>
      <c r="AM52" s="10"/>
      <c r="AN52" s="160"/>
      <c r="AO52" s="63" t="s">
        <v>106</v>
      </c>
      <c r="AP52" s="10"/>
      <c r="AQ52" s="10"/>
      <c r="AR52" s="10" t="s">
        <v>105</v>
      </c>
      <c r="AS52" s="10"/>
      <c r="AT52" s="10"/>
    </row>
    <row r="53" spans="1:49" s="2" customFormat="1" ht="21.75" customHeight="1">
      <c r="B53" s="29"/>
      <c r="C53" s="50"/>
      <c r="D53" s="50"/>
      <c r="E53" s="50"/>
      <c r="F53" s="58"/>
      <c r="G53" s="63"/>
      <c r="H53" s="10"/>
      <c r="I53" s="10"/>
      <c r="J53" s="13"/>
      <c r="K53" s="123"/>
      <c r="L53" s="10"/>
      <c r="M53" s="10"/>
      <c r="N53" s="10"/>
      <c r="O53" s="10"/>
      <c r="P53" s="160"/>
      <c r="Q53" s="63"/>
      <c r="R53" s="10"/>
      <c r="S53" s="10"/>
      <c r="T53" s="10"/>
      <c r="U53" s="10"/>
      <c r="V53" s="10"/>
      <c r="Z53" s="29"/>
      <c r="AA53" s="50"/>
      <c r="AB53" s="50"/>
      <c r="AC53" s="50"/>
      <c r="AD53" s="58"/>
      <c r="AE53" s="63"/>
      <c r="AF53" s="10"/>
      <c r="AG53" s="10"/>
      <c r="AH53" s="13"/>
      <c r="AI53" s="123"/>
      <c r="AJ53" s="10"/>
      <c r="AK53" s="10"/>
      <c r="AL53" s="10"/>
      <c r="AM53" s="10"/>
      <c r="AN53" s="160"/>
      <c r="AO53" s="63"/>
      <c r="AP53" s="10"/>
      <c r="AQ53" s="10"/>
      <c r="AR53" s="10"/>
      <c r="AS53" s="10"/>
      <c r="AT53" s="10"/>
      <c r="AV53" s="2" t="s">
        <v>9</v>
      </c>
      <c r="AW53" s="2" t="s">
        <v>125</v>
      </c>
    </row>
    <row r="54" spans="1:49" s="2" customFormat="1" ht="25.5" customHeight="1">
      <c r="A54" s="2">
        <v>1</v>
      </c>
      <c r="B54" s="30" t="str">
        <f t="shared" ref="B54:B83" si="1">Z54</f>
        <v>口羽太郎</v>
      </c>
      <c r="C54" s="51"/>
      <c r="D54" s="51"/>
      <c r="E54" s="51"/>
      <c r="F54" s="59"/>
      <c r="G54" s="64">
        <f t="shared" ref="G54:G83" si="2">AE54</f>
        <v>42000</v>
      </c>
      <c r="H54" s="74"/>
      <c r="I54" s="74"/>
      <c r="J54" s="108"/>
      <c r="K54" s="64">
        <f t="shared" ref="K54:K83" si="3">IF(ISERROR(AI54+AV54),"",AI54+AV54)</f>
        <v>294000</v>
      </c>
      <c r="L54" s="74"/>
      <c r="M54" s="126"/>
      <c r="N54" s="134">
        <f t="shared" ref="N54:N83" si="4">IF(ISERROR(AL54+AW54),"",AL54+AW54)</f>
        <v>666667</v>
      </c>
      <c r="O54" s="74"/>
      <c r="P54" s="108"/>
      <c r="Q54" s="64">
        <f t="shared" ref="Q54:Q83" si="5">IF(ISERROR(AO54),"",G54+K54)</f>
        <v>336000</v>
      </c>
      <c r="R54" s="74"/>
      <c r="S54" s="126"/>
      <c r="T54" s="134">
        <f t="shared" ref="T54:T83" si="6">N54</f>
        <v>666667</v>
      </c>
      <c r="U54" s="74"/>
      <c r="V54" s="126"/>
      <c r="Y54" s="2">
        <v>1</v>
      </c>
      <c r="Z54" s="30" t="str">
        <f>'資料1.参加者及び面積'!F3</f>
        <v>口羽太郎</v>
      </c>
      <c r="AA54" s="51"/>
      <c r="AB54" s="51"/>
      <c r="AC54" s="51"/>
      <c r="AD54" s="59"/>
      <c r="AE54" s="69">
        <f>'資料1.参加者及び面積'!H3</f>
        <v>42000</v>
      </c>
      <c r="AF54" s="79"/>
      <c r="AG54" s="79"/>
      <c r="AH54" s="113"/>
      <c r="AI54" s="211">
        <f>IF('資料1.参加者及び面積'!$A$13="面積・単価で按分",INT('資料1.参加者及び面積'!$B$5*'資料1.参加者及び面積'!H3/'資料1.参加者及び面積'!$H$33),IF(AND((COUNTA('資料1.参加者及び面積'!$F$3:$F$32)-Y54)&gt;=0,'資料1.参加者及び面積'!$A$13="均等割りで按分"),INT('資料1.参加者及び面積'!$B$5/COUNTA('資料1.参加者及び面積'!$F$3:$F$32)),IF('資料1.参加者及び面積'!$A$13="面積で按分",INT('資料1.参加者及び面積'!$B$5*'資料1.参加者及び面積'!G3/'資料1.参加者及び面積'!$G$33),"")))</f>
        <v>294000</v>
      </c>
      <c r="AJ54" s="212"/>
      <c r="AK54" s="213"/>
      <c r="AL54" s="79">
        <f>IF('資料1.参加者及び面積'!$A$13="面積・単価で按分",INT('資料2.内訳'!$B$52*'資料1.参加者及び面積'!H3/'資料1.参加者及び面積'!$H$33),IF(AND((COUNTA('資料1.参加者及び面積'!$F$3:$F$32)-Y54)&gt;=0,'資料1.参加者及び面積'!$A$13="均等割りで按分"),INT('資料2.内訳'!$B$52/COUNTA('資料1.参加者及び面積'!$F$3:$F$32)),IF('資料1.参加者及び面積'!$A$13="面積で按分",INT('資料2.内訳'!$B$52*'資料1.参加者及び面積'!G3/'資料1.参加者及び面積'!$G$33),"")))</f>
        <v>666666</v>
      </c>
      <c r="AM54" s="79"/>
      <c r="AN54" s="131"/>
      <c r="AO54" s="69">
        <f t="shared" ref="AO54:AO83" si="7">IF(AND(AE54="",AI54=""),"",AE54+AI54)</f>
        <v>336000</v>
      </c>
      <c r="AP54" s="79"/>
      <c r="AQ54" s="131"/>
      <c r="AR54" s="103">
        <f t="shared" ref="AR54:AR83" si="8">AL54</f>
        <v>666666</v>
      </c>
      <c r="AS54" s="79"/>
      <c r="AT54" s="131"/>
      <c r="AV54" s="2">
        <f>IF($AG$16-$AI$84&gt;0,1,0)</f>
        <v>0</v>
      </c>
      <c r="AW54" s="2">
        <f>IF($AH$42-$AL$84&gt;0,1,0)</f>
        <v>1</v>
      </c>
    </row>
    <row r="55" spans="1:49" s="2" customFormat="1" ht="25.5" customHeight="1">
      <c r="A55" s="2">
        <v>2</v>
      </c>
      <c r="B55" s="31" t="str">
        <f t="shared" si="1"/>
        <v>阿須那花子</v>
      </c>
      <c r="C55" s="52"/>
      <c r="D55" s="52"/>
      <c r="E55" s="52"/>
      <c r="F55" s="60"/>
      <c r="G55" s="65">
        <f t="shared" si="2"/>
        <v>42000</v>
      </c>
      <c r="H55" s="75"/>
      <c r="I55" s="75"/>
      <c r="J55" s="109"/>
      <c r="K55" s="65">
        <f t="shared" si="3"/>
        <v>294000</v>
      </c>
      <c r="L55" s="75"/>
      <c r="M55" s="127"/>
      <c r="N55" s="135">
        <f t="shared" si="4"/>
        <v>666667</v>
      </c>
      <c r="O55" s="75"/>
      <c r="P55" s="109"/>
      <c r="Q55" s="65">
        <f t="shared" si="5"/>
        <v>336000</v>
      </c>
      <c r="R55" s="75"/>
      <c r="S55" s="127"/>
      <c r="T55" s="135">
        <f t="shared" si="6"/>
        <v>666667</v>
      </c>
      <c r="U55" s="75"/>
      <c r="V55" s="127"/>
      <c r="Y55" s="2">
        <v>2</v>
      </c>
      <c r="Z55" s="31" t="str">
        <f>'資料1.参加者及び面積'!F4</f>
        <v>阿須那花子</v>
      </c>
      <c r="AA55" s="52"/>
      <c r="AB55" s="52"/>
      <c r="AC55" s="52"/>
      <c r="AD55" s="60"/>
      <c r="AE55" s="67">
        <f>'資料1.参加者及び面積'!H4</f>
        <v>42000</v>
      </c>
      <c r="AF55" s="77"/>
      <c r="AG55" s="77"/>
      <c r="AH55" s="111"/>
      <c r="AI55" s="67">
        <f>IF('資料1.参加者及び面積'!$A$13="面積・単価で按分",INT('資料1.参加者及び面積'!$B$5*'資料1.参加者及び面積'!H4/'資料1.参加者及び面積'!$H$33),IF(AND((COUNTA('資料1.参加者及び面積'!$F$3:$F$32)-Y55)&gt;=0,'資料1.参加者及び面積'!$A$13="均等割りで按分"),INT('資料1.参加者及び面積'!$B$5/COUNTA('資料1.参加者及び面積'!$F$3:$F$32)),IF('資料1.参加者及び面積'!$A$13="面積で按分",INT('資料1.参加者及び面積'!$B$5*'資料1.参加者及び面積'!G4/'資料1.参加者及び面積'!$G$33),"")))</f>
        <v>294000</v>
      </c>
      <c r="AJ55" s="77"/>
      <c r="AK55" s="129"/>
      <c r="AL55" s="137">
        <f>IF('資料1.参加者及び面積'!$A$13="面積・単価で按分",INT('資料2.内訳'!$B$52*'資料1.参加者及び面積'!H4/'資料1.参加者及び面積'!$H$33),IF(AND((COUNTA('資料1.参加者及び面積'!$F$3:$F$32)-Y55)&gt;=0,'資料1.参加者及び面積'!$A$13="均等割りで按分"),INT('資料2.内訳'!$B$52/COUNTA('資料1.参加者及び面積'!$F$3:$F$32)),IF('資料1.参加者及び面積'!$A$13="面積で按分",INT('資料2.内訳'!$B$52*'資料1.参加者及び面積'!G4/'資料1.参加者及び面積'!$G$33),"")))</f>
        <v>666666</v>
      </c>
      <c r="AM55" s="77"/>
      <c r="AN55" s="111"/>
      <c r="AO55" s="67">
        <f t="shared" si="7"/>
        <v>336000</v>
      </c>
      <c r="AP55" s="77"/>
      <c r="AQ55" s="129"/>
      <c r="AR55" s="137">
        <f t="shared" si="8"/>
        <v>666666</v>
      </c>
      <c r="AS55" s="77"/>
      <c r="AT55" s="129"/>
      <c r="AV55" s="2">
        <f>IF($AG$16-$AI$84-SUM($AV$54)&gt;0,1,0)</f>
        <v>0</v>
      </c>
      <c r="AW55" s="2">
        <f>IF($AH$42-$AL$84-SUM($AW$54)&gt;0,1,0)</f>
        <v>1</v>
      </c>
    </row>
    <row r="56" spans="1:49" s="2" customFormat="1" ht="25.5" customHeight="1">
      <c r="A56" s="2">
        <v>3</v>
      </c>
      <c r="B56" s="31" t="str">
        <f t="shared" si="1"/>
        <v>布施一郎</v>
      </c>
      <c r="C56" s="52"/>
      <c r="D56" s="52"/>
      <c r="E56" s="52"/>
      <c r="F56" s="60"/>
      <c r="G56" s="65">
        <f t="shared" si="2"/>
        <v>42000</v>
      </c>
      <c r="H56" s="75"/>
      <c r="I56" s="75"/>
      <c r="J56" s="109"/>
      <c r="K56" s="65">
        <f t="shared" si="3"/>
        <v>294000</v>
      </c>
      <c r="L56" s="75"/>
      <c r="M56" s="127"/>
      <c r="N56" s="135">
        <f t="shared" si="4"/>
        <v>666667</v>
      </c>
      <c r="O56" s="75"/>
      <c r="P56" s="109"/>
      <c r="Q56" s="65">
        <f t="shared" si="5"/>
        <v>336000</v>
      </c>
      <c r="R56" s="75"/>
      <c r="S56" s="127"/>
      <c r="T56" s="135">
        <f t="shared" si="6"/>
        <v>666667</v>
      </c>
      <c r="U56" s="75"/>
      <c r="V56" s="127"/>
      <c r="Y56" s="2">
        <v>3</v>
      </c>
      <c r="Z56" s="31" t="str">
        <f>'資料1.参加者及び面積'!F5</f>
        <v>布施一郎</v>
      </c>
      <c r="AA56" s="52"/>
      <c r="AB56" s="52"/>
      <c r="AC56" s="52"/>
      <c r="AD56" s="60"/>
      <c r="AE56" s="67">
        <f>'資料1.参加者及び面積'!H5</f>
        <v>42000</v>
      </c>
      <c r="AF56" s="77"/>
      <c r="AG56" s="77"/>
      <c r="AH56" s="111"/>
      <c r="AI56" s="67">
        <f>IF('資料1.参加者及び面積'!$A$13="面積・単価で按分",INT('資料1.参加者及び面積'!$B$5*'資料1.参加者及び面積'!H5/'資料1.参加者及び面積'!$H$33),IF(AND((COUNTA('資料1.参加者及び面積'!$F$3:$F$32)-Y56)&gt;=0,'資料1.参加者及び面積'!$A$13="均等割りで按分"),INT('資料1.参加者及び面積'!$B$5/COUNTA('資料1.参加者及び面積'!$F$3:$F$32)),IF('資料1.参加者及び面積'!$A$13="面積で按分",INT('資料1.参加者及び面積'!$B$5*'資料1.参加者及び面積'!G5/'資料1.参加者及び面積'!$G$33),"")))</f>
        <v>294000</v>
      </c>
      <c r="AJ56" s="77"/>
      <c r="AK56" s="129"/>
      <c r="AL56" s="137">
        <f>IF('資料1.参加者及び面積'!$A$13="面積・単価で按分",INT('資料2.内訳'!$B$52*'資料1.参加者及び面積'!H5/'資料1.参加者及び面積'!$H$33),IF(AND((COUNTA('資料1.参加者及び面積'!$F$3:$F$32)-Y56)&gt;=0,'資料1.参加者及び面積'!$A$13="均等割りで按分"),INT('資料2.内訳'!$B$52/COUNTA('資料1.参加者及び面積'!$F$3:$F$32)),IF('資料1.参加者及び面積'!$A$13="面積で按分",INT('資料2.内訳'!$B$52*'資料1.参加者及び面積'!G5/'資料1.参加者及び面積'!$G$33),"")))</f>
        <v>666666</v>
      </c>
      <c r="AM56" s="77"/>
      <c r="AN56" s="111"/>
      <c r="AO56" s="67">
        <f t="shared" si="7"/>
        <v>336000</v>
      </c>
      <c r="AP56" s="77"/>
      <c r="AQ56" s="129"/>
      <c r="AR56" s="137">
        <f t="shared" si="8"/>
        <v>666666</v>
      </c>
      <c r="AS56" s="77"/>
      <c r="AT56" s="129"/>
      <c r="AV56" s="2">
        <f>IF($AG$16-$AI$84-SUM($AV$54:AV55)&gt;0,1,0)</f>
        <v>0</v>
      </c>
      <c r="AW56" s="2">
        <f>IF($AH$42-$AL$84-SUM($AW$54:AW55)&gt;0,1,0)</f>
        <v>1</v>
      </c>
    </row>
    <row r="57" spans="1:49" s="2" customFormat="1" ht="25.5" customHeight="1">
      <c r="A57" s="2">
        <v>4</v>
      </c>
      <c r="B57" s="31" t="str">
        <f t="shared" si="1"/>
        <v>高原二郎</v>
      </c>
      <c r="C57" s="52"/>
      <c r="D57" s="52"/>
      <c r="E57" s="52"/>
      <c r="F57" s="60"/>
      <c r="G57" s="65">
        <f t="shared" si="2"/>
        <v>42000</v>
      </c>
      <c r="H57" s="75"/>
      <c r="I57" s="75"/>
      <c r="J57" s="109"/>
      <c r="K57" s="65">
        <f t="shared" si="3"/>
        <v>294000</v>
      </c>
      <c r="L57" s="75"/>
      <c r="M57" s="127"/>
      <c r="N57" s="135">
        <f t="shared" si="4"/>
        <v>666667</v>
      </c>
      <c r="O57" s="75"/>
      <c r="P57" s="109"/>
      <c r="Q57" s="65">
        <f t="shared" si="5"/>
        <v>336000</v>
      </c>
      <c r="R57" s="75"/>
      <c r="S57" s="127"/>
      <c r="T57" s="135">
        <f t="shared" si="6"/>
        <v>666667</v>
      </c>
      <c r="U57" s="75"/>
      <c r="V57" s="127"/>
      <c r="Y57" s="2">
        <v>4</v>
      </c>
      <c r="Z57" s="31" t="str">
        <f>'資料1.参加者及び面積'!F6</f>
        <v>高原二郎</v>
      </c>
      <c r="AA57" s="52"/>
      <c r="AB57" s="52"/>
      <c r="AC57" s="52"/>
      <c r="AD57" s="60"/>
      <c r="AE57" s="67">
        <f>'資料1.参加者及び面積'!H6</f>
        <v>42000</v>
      </c>
      <c r="AF57" s="77"/>
      <c r="AG57" s="77"/>
      <c r="AH57" s="111"/>
      <c r="AI57" s="67">
        <f>IF('資料1.参加者及び面積'!$A$13="面積・単価で按分",INT('資料1.参加者及び面積'!$B$5*'資料1.参加者及び面積'!H6/'資料1.参加者及び面積'!$H$33),IF(AND((COUNTA('資料1.参加者及び面積'!$F$3:$F$32)-Y57)&gt;=0,'資料1.参加者及び面積'!$A$13="均等割りで按分"),INT('資料1.参加者及び面積'!$B$5/COUNTA('資料1.参加者及び面積'!$F$3:$F$32)),IF('資料1.参加者及び面積'!$A$13="面積で按分",INT('資料1.参加者及び面積'!$B$5*'資料1.参加者及び面積'!G6/'資料1.参加者及び面積'!$G$33),"")))</f>
        <v>294000</v>
      </c>
      <c r="AJ57" s="77"/>
      <c r="AK57" s="129"/>
      <c r="AL57" s="137">
        <f>IF('資料1.参加者及び面積'!$A$13="面積・単価で按分",INT('資料2.内訳'!$B$52*'資料1.参加者及び面積'!H6/'資料1.参加者及び面積'!$H$33),IF(AND((COUNTA('資料1.参加者及び面積'!$F$3:$F$32)-Y57)&gt;=0,'資料1.参加者及び面積'!$A$13="均等割りで按分"),INT('資料2.内訳'!$B$52/COUNTA('資料1.参加者及び面積'!$F$3:$F$32)),IF('資料1.参加者及び面積'!$A$13="面積で按分",INT('資料2.内訳'!$B$52*'資料1.参加者及び面積'!G6/'資料1.参加者及び面積'!$G$33),"")))</f>
        <v>666666</v>
      </c>
      <c r="AM57" s="77"/>
      <c r="AN57" s="111"/>
      <c r="AO57" s="67">
        <f t="shared" si="7"/>
        <v>336000</v>
      </c>
      <c r="AP57" s="77"/>
      <c r="AQ57" s="129"/>
      <c r="AR57" s="137">
        <f t="shared" si="8"/>
        <v>666666</v>
      </c>
      <c r="AS57" s="77"/>
      <c r="AT57" s="129"/>
      <c r="AV57" s="2">
        <f>IF($AG$16-$AI$84-SUM($AV$54:AV56)&gt;0,1,0)</f>
        <v>0</v>
      </c>
      <c r="AW57" s="2">
        <f>IF($AH$42-$AL$84-SUM($AW$54:AW56)&gt;0,1,0)</f>
        <v>1</v>
      </c>
    </row>
    <row r="58" spans="1:49" s="2" customFormat="1" ht="25.5" customHeight="1">
      <c r="A58" s="2">
        <v>5</v>
      </c>
      <c r="B58" s="32" t="str">
        <f t="shared" si="1"/>
        <v>出羽三郎</v>
      </c>
      <c r="C58" s="53"/>
      <c r="D58" s="53"/>
      <c r="E58" s="53"/>
      <c r="F58" s="61"/>
      <c r="G58" s="66">
        <f t="shared" si="2"/>
        <v>42000</v>
      </c>
      <c r="H58" s="76"/>
      <c r="I58" s="76"/>
      <c r="J58" s="110"/>
      <c r="K58" s="66">
        <f t="shared" si="3"/>
        <v>294000</v>
      </c>
      <c r="L58" s="76"/>
      <c r="M58" s="128"/>
      <c r="N58" s="136">
        <f t="shared" si="4"/>
        <v>666667</v>
      </c>
      <c r="O58" s="76"/>
      <c r="P58" s="110"/>
      <c r="Q58" s="66">
        <f t="shared" si="5"/>
        <v>336000</v>
      </c>
      <c r="R58" s="76"/>
      <c r="S58" s="128"/>
      <c r="T58" s="136">
        <f t="shared" si="6"/>
        <v>666667</v>
      </c>
      <c r="U58" s="76"/>
      <c r="V58" s="128"/>
      <c r="Y58" s="2">
        <v>5</v>
      </c>
      <c r="Z58" s="32" t="str">
        <f>'資料1.参加者及び面積'!F7</f>
        <v>出羽三郎</v>
      </c>
      <c r="AA58" s="53"/>
      <c r="AB58" s="53"/>
      <c r="AC58" s="53"/>
      <c r="AD58" s="61"/>
      <c r="AE58" s="70">
        <f>'資料1.参加者及び面積'!H7</f>
        <v>42000</v>
      </c>
      <c r="AF58" s="80"/>
      <c r="AG58" s="80"/>
      <c r="AH58" s="114"/>
      <c r="AI58" s="70">
        <f>IF('資料1.参加者及び面積'!$A$13="面積・単価で按分",INT('資料1.参加者及び面積'!$B$5*'資料1.参加者及び面積'!H7/'資料1.参加者及び面積'!$H$33),IF(AND((COUNTA('資料1.参加者及び面積'!$F$3:$F$32)-Y58)&gt;=0,'資料1.参加者及び面積'!$A$13="均等割りで按分"),INT('資料1.参加者及び面積'!$B$5/COUNTA('資料1.参加者及び面積'!$F$3:$F$32)),IF('資料1.参加者及び面積'!$A$13="面積で按分",INT('資料1.参加者及び面積'!$B$5*'資料1.参加者及び面積'!G7/'資料1.参加者及び面積'!$G$33),"")))</f>
        <v>294000</v>
      </c>
      <c r="AJ58" s="80"/>
      <c r="AK58" s="132"/>
      <c r="AL58" s="139">
        <f>IF('資料1.参加者及び面積'!$A$13="面積・単価で按分",INT('資料2.内訳'!$B$52*'資料1.参加者及び面積'!H7/'資料1.参加者及び面積'!$H$33),IF(AND((COUNTA('資料1.参加者及び面積'!$F$3:$F$32)-Y58)&gt;=0,'資料1.参加者及び面積'!$A$13="均等割りで按分"),INT('資料2.内訳'!$B$52/COUNTA('資料1.参加者及び面積'!$F$3:$F$32)),IF('資料1.参加者及び面積'!$A$13="面積で按分",INT('資料2.内訳'!$B$52*'資料1.参加者及び面積'!G7/'資料1.参加者及び面積'!$G$33),"")))</f>
        <v>666666</v>
      </c>
      <c r="AM58" s="80"/>
      <c r="AN58" s="114"/>
      <c r="AO58" s="70">
        <f t="shared" si="7"/>
        <v>336000</v>
      </c>
      <c r="AP58" s="80"/>
      <c r="AQ58" s="132"/>
      <c r="AR58" s="139">
        <f t="shared" si="8"/>
        <v>666666</v>
      </c>
      <c r="AS58" s="80"/>
      <c r="AT58" s="132"/>
      <c r="AV58" s="2">
        <f>IF($AG$16-$AI$84-SUM($AV$54:AV57)&gt;0,1,0)</f>
        <v>0</v>
      </c>
      <c r="AW58" s="2">
        <f>IF($AH$42-$AL$84-SUM($AW$54:AW57)&gt;0,1,0)</f>
        <v>1</v>
      </c>
    </row>
    <row r="59" spans="1:49" s="2" customFormat="1" ht="25.5" customHeight="1">
      <c r="A59" s="2">
        <v>6</v>
      </c>
      <c r="B59" s="30" t="str">
        <f t="shared" si="1"/>
        <v>田所四郎</v>
      </c>
      <c r="C59" s="51"/>
      <c r="D59" s="51"/>
      <c r="E59" s="51"/>
      <c r="F59" s="59"/>
      <c r="G59" s="64">
        <f t="shared" si="2"/>
        <v>84000</v>
      </c>
      <c r="H59" s="74"/>
      <c r="I59" s="74"/>
      <c r="J59" s="108"/>
      <c r="K59" s="64">
        <f t="shared" si="3"/>
        <v>294000</v>
      </c>
      <c r="L59" s="74"/>
      <c r="M59" s="126"/>
      <c r="N59" s="134">
        <f t="shared" si="4"/>
        <v>666667</v>
      </c>
      <c r="O59" s="74"/>
      <c r="P59" s="108"/>
      <c r="Q59" s="64">
        <f t="shared" si="5"/>
        <v>378000</v>
      </c>
      <c r="R59" s="74"/>
      <c r="S59" s="126"/>
      <c r="T59" s="134">
        <f t="shared" si="6"/>
        <v>666667</v>
      </c>
      <c r="U59" s="74"/>
      <c r="V59" s="126"/>
      <c r="Y59" s="2">
        <v>6</v>
      </c>
      <c r="Z59" s="30" t="str">
        <f>'資料1.参加者及び面積'!F8</f>
        <v>田所四郎</v>
      </c>
      <c r="AA59" s="51"/>
      <c r="AB59" s="51"/>
      <c r="AC59" s="51"/>
      <c r="AD59" s="59"/>
      <c r="AE59" s="69">
        <f>'資料1.参加者及び面積'!H8</f>
        <v>84000</v>
      </c>
      <c r="AF59" s="79"/>
      <c r="AG59" s="79"/>
      <c r="AH59" s="113"/>
      <c r="AI59" s="69">
        <f>IF('資料1.参加者及び面積'!$A$13="面積・単価で按分",INT('資料1.参加者及び面積'!$B$5*'資料1.参加者及び面積'!H8/'資料1.参加者及び面積'!$H$33),IF(AND((COUNTA('資料1.参加者及び面積'!$F$3:$F$32)-Y59)&gt;=0,'資料1.参加者及び面積'!$A$13="均等割りで按分"),INT('資料1.参加者及び面積'!$B$5/COUNTA('資料1.参加者及び面積'!$F$3:$F$32)),IF('資料1.参加者及び面積'!$A$13="面積で按分",INT('資料1.参加者及び面積'!$B$5*'資料1.参加者及び面積'!G8/'資料1.参加者及び面積'!$G$33),"")))</f>
        <v>294000</v>
      </c>
      <c r="AJ59" s="79"/>
      <c r="AK59" s="131"/>
      <c r="AL59" s="103">
        <f>IF('資料1.参加者及び面積'!$A$13="面積・単価で按分",INT('資料2.内訳'!$B$52*'資料1.参加者及び面積'!H8/'資料1.参加者及び面積'!$H$33),IF(AND((COUNTA('資料1.参加者及び面積'!$F$3:$F$32)-Y59)&gt;=0,'資料1.参加者及び面積'!$A$13="均等割りで按分"),INT('資料2.内訳'!$B$52/COUNTA('資料1.参加者及び面積'!$F$3:$F$32)),IF('資料1.参加者及び面積'!$A$13="面積で按分",INT('資料2.内訳'!$B$52*'資料1.参加者及び面積'!G8/'資料1.参加者及び面積'!$G$33),"")))</f>
        <v>666666</v>
      </c>
      <c r="AM59" s="79"/>
      <c r="AN59" s="113"/>
      <c r="AO59" s="69">
        <f t="shared" si="7"/>
        <v>378000</v>
      </c>
      <c r="AP59" s="79"/>
      <c r="AQ59" s="131"/>
      <c r="AR59" s="103">
        <f t="shared" si="8"/>
        <v>666666</v>
      </c>
      <c r="AS59" s="79"/>
      <c r="AT59" s="131"/>
      <c r="AV59" s="2">
        <f>IF($AG$16-$AI$84-SUM($AV$54:AV58)&gt;0,1,0)</f>
        <v>0</v>
      </c>
      <c r="AW59" s="2">
        <f>IF($AH$42-$AL$84-SUM($AW$54:AW58)&gt;0,1,0)</f>
        <v>1</v>
      </c>
    </row>
    <row r="60" spans="1:49" s="2" customFormat="1" ht="25.5" customHeight="1">
      <c r="A60" s="2">
        <v>7</v>
      </c>
      <c r="B60" s="31" t="str">
        <f t="shared" si="1"/>
        <v>市木五郎</v>
      </c>
      <c r="C60" s="52"/>
      <c r="D60" s="52"/>
      <c r="E60" s="52"/>
      <c r="F60" s="60"/>
      <c r="G60" s="65">
        <f t="shared" si="2"/>
        <v>84000</v>
      </c>
      <c r="H60" s="75"/>
      <c r="I60" s="75"/>
      <c r="J60" s="109"/>
      <c r="K60" s="65">
        <f t="shared" si="3"/>
        <v>294000</v>
      </c>
      <c r="L60" s="75"/>
      <c r="M60" s="127"/>
      <c r="N60" s="135">
        <f t="shared" si="4"/>
        <v>666667</v>
      </c>
      <c r="O60" s="75"/>
      <c r="P60" s="109"/>
      <c r="Q60" s="65">
        <f t="shared" si="5"/>
        <v>378000</v>
      </c>
      <c r="R60" s="75"/>
      <c r="S60" s="127"/>
      <c r="T60" s="135">
        <f t="shared" si="6"/>
        <v>666667</v>
      </c>
      <c r="U60" s="75"/>
      <c r="V60" s="127"/>
      <c r="Y60" s="2">
        <v>7</v>
      </c>
      <c r="Z60" s="31" t="str">
        <f>'資料1.参加者及び面積'!F9</f>
        <v>市木五郎</v>
      </c>
      <c r="AA60" s="52"/>
      <c r="AB60" s="52"/>
      <c r="AC60" s="52"/>
      <c r="AD60" s="60"/>
      <c r="AE60" s="67">
        <f>'資料1.参加者及び面積'!H9</f>
        <v>84000</v>
      </c>
      <c r="AF60" s="77"/>
      <c r="AG60" s="77"/>
      <c r="AH60" s="111"/>
      <c r="AI60" s="67">
        <f>IF('資料1.参加者及び面積'!$A$13="面積・単価で按分",INT('資料1.参加者及び面積'!$B$5*'資料1.参加者及び面積'!H9/'資料1.参加者及び面積'!$H$33),IF(AND((COUNTA('資料1.参加者及び面積'!$F$3:$F$32)-Y60)&gt;=0,'資料1.参加者及び面積'!$A$13="均等割りで按分"),INT('資料1.参加者及び面積'!$B$5/COUNTA('資料1.参加者及び面積'!$F$3:$F$32)),IF('資料1.参加者及び面積'!$A$13="面積で按分",INT('資料1.参加者及び面積'!$B$5*'資料1.参加者及び面積'!G9/'資料1.参加者及び面積'!$G$33),"")))</f>
        <v>294000</v>
      </c>
      <c r="AJ60" s="77"/>
      <c r="AK60" s="129"/>
      <c r="AL60" s="137">
        <f>IF('資料1.参加者及び面積'!$A$13="面積・単価で按分",INT('資料2.内訳'!$B$52*'資料1.参加者及び面積'!H9/'資料1.参加者及び面積'!$H$33),IF(AND((COUNTA('資料1.参加者及び面積'!$F$3:$F$32)-Y60)&gt;=0,'資料1.参加者及び面積'!$A$13="均等割りで按分"),INT('資料2.内訳'!$B$52/COUNTA('資料1.参加者及び面積'!$F$3:$F$32)),IF('資料1.参加者及び面積'!$A$13="面積で按分",INT('資料2.内訳'!$B$52*'資料1.参加者及び面積'!G9/'資料1.参加者及び面積'!$G$33),"")))</f>
        <v>666666</v>
      </c>
      <c r="AM60" s="77"/>
      <c r="AN60" s="111"/>
      <c r="AO60" s="67">
        <f t="shared" si="7"/>
        <v>378000</v>
      </c>
      <c r="AP60" s="77"/>
      <c r="AQ60" s="129"/>
      <c r="AR60" s="137">
        <f t="shared" si="8"/>
        <v>666666</v>
      </c>
      <c r="AS60" s="77"/>
      <c r="AT60" s="129"/>
      <c r="AV60" s="2">
        <f>IF($AG$16-$AI$84-SUM($AV$54:AV59)&gt;0,1,0)</f>
        <v>0</v>
      </c>
      <c r="AW60" s="2">
        <f>IF($AH$42-$AL$84-SUM($AW$54:AW59)&gt;0,1,0)</f>
        <v>1</v>
      </c>
    </row>
    <row r="61" spans="1:49" s="2" customFormat="1" ht="25.5" customHeight="1">
      <c r="A61" s="2">
        <v>8</v>
      </c>
      <c r="B61" s="31" t="str">
        <f t="shared" si="1"/>
        <v>井原六郎</v>
      </c>
      <c r="C61" s="52"/>
      <c r="D61" s="52"/>
      <c r="E61" s="52"/>
      <c r="F61" s="60"/>
      <c r="G61" s="65">
        <f t="shared" si="2"/>
        <v>84000</v>
      </c>
      <c r="H61" s="75"/>
      <c r="I61" s="75"/>
      <c r="J61" s="109"/>
      <c r="K61" s="65">
        <f t="shared" si="3"/>
        <v>294000</v>
      </c>
      <c r="L61" s="75"/>
      <c r="M61" s="127"/>
      <c r="N61" s="135">
        <f t="shared" si="4"/>
        <v>666667</v>
      </c>
      <c r="O61" s="75"/>
      <c r="P61" s="109"/>
      <c r="Q61" s="65">
        <f t="shared" si="5"/>
        <v>378000</v>
      </c>
      <c r="R61" s="75"/>
      <c r="S61" s="127"/>
      <c r="T61" s="135">
        <f t="shared" si="6"/>
        <v>666667</v>
      </c>
      <c r="U61" s="75"/>
      <c r="V61" s="127"/>
      <c r="Y61" s="2">
        <v>8</v>
      </c>
      <c r="Z61" s="31" t="str">
        <f>'資料1.参加者及び面積'!F10</f>
        <v>井原六郎</v>
      </c>
      <c r="AA61" s="52"/>
      <c r="AB61" s="52"/>
      <c r="AC61" s="52"/>
      <c r="AD61" s="60"/>
      <c r="AE61" s="67">
        <f>'資料1.参加者及び面積'!H10</f>
        <v>84000</v>
      </c>
      <c r="AF61" s="77"/>
      <c r="AG61" s="77"/>
      <c r="AH61" s="111"/>
      <c r="AI61" s="67">
        <f>IF('資料1.参加者及び面積'!$A$13="面積・単価で按分",INT('資料1.参加者及び面積'!$B$5*'資料1.参加者及び面積'!H10/'資料1.参加者及び面積'!$H$33),IF(AND((COUNTA('資料1.参加者及び面積'!$F$3:$F$32)-Y61)&gt;=0,'資料1.参加者及び面積'!$A$13="均等割りで按分"),INT('資料1.参加者及び面積'!$B$5/COUNTA('資料1.参加者及び面積'!$F$3:$F$32)),IF('資料1.参加者及び面積'!$A$13="面積で按分",INT('資料1.参加者及び面積'!$B$5*'資料1.参加者及び面積'!G10/'資料1.参加者及び面積'!$G$33),"")))</f>
        <v>294000</v>
      </c>
      <c r="AJ61" s="77"/>
      <c r="AK61" s="129"/>
      <c r="AL61" s="137">
        <f>IF('資料1.参加者及び面積'!$A$13="面積・単価で按分",INT('資料2.内訳'!$B$52*'資料1.参加者及び面積'!H10/'資料1.参加者及び面積'!$H$33),IF(AND((COUNTA('資料1.参加者及び面積'!$F$3:$F$32)-Y61)&gt;=0,'資料1.参加者及び面積'!$A$13="均等割りで按分"),INT('資料2.内訳'!$B$52/COUNTA('資料1.参加者及び面積'!$F$3:$F$32)),IF('資料1.参加者及び面積'!$A$13="面積で按分",INT('資料2.内訳'!$B$52*'資料1.参加者及び面積'!G10/'資料1.参加者及び面積'!$G$33),"")))</f>
        <v>666666</v>
      </c>
      <c r="AM61" s="77"/>
      <c r="AN61" s="111"/>
      <c r="AO61" s="67">
        <f t="shared" si="7"/>
        <v>378000</v>
      </c>
      <c r="AP61" s="77"/>
      <c r="AQ61" s="129"/>
      <c r="AR61" s="137">
        <f t="shared" si="8"/>
        <v>666666</v>
      </c>
      <c r="AS61" s="77"/>
      <c r="AT61" s="129"/>
      <c r="AV61" s="2">
        <f>IF($AG$16-$AI$84-SUM($AV$54:AV60)&gt;0,1,0)</f>
        <v>0</v>
      </c>
      <c r="AW61" s="2">
        <f>IF($AH$42-$AL$84-SUM($AW$54:AW60)&gt;0,1,0)</f>
        <v>1</v>
      </c>
    </row>
    <row r="62" spans="1:49" s="2" customFormat="1" ht="25.5" customHeight="1">
      <c r="A62" s="2">
        <v>9</v>
      </c>
      <c r="B62" s="31" t="str">
        <f t="shared" si="1"/>
        <v>中野七郎</v>
      </c>
      <c r="C62" s="52"/>
      <c r="D62" s="52"/>
      <c r="E62" s="52"/>
      <c r="F62" s="60"/>
      <c r="G62" s="65">
        <f t="shared" si="2"/>
        <v>84000</v>
      </c>
      <c r="H62" s="75"/>
      <c r="I62" s="75"/>
      <c r="J62" s="109"/>
      <c r="K62" s="65">
        <f t="shared" si="3"/>
        <v>294000</v>
      </c>
      <c r="L62" s="75"/>
      <c r="M62" s="127"/>
      <c r="N62" s="135">
        <f t="shared" si="4"/>
        <v>666666</v>
      </c>
      <c r="O62" s="75"/>
      <c r="P62" s="109"/>
      <c r="Q62" s="65">
        <f t="shared" si="5"/>
        <v>378000</v>
      </c>
      <c r="R62" s="75"/>
      <c r="S62" s="127"/>
      <c r="T62" s="135">
        <f t="shared" si="6"/>
        <v>666666</v>
      </c>
      <c r="U62" s="75"/>
      <c r="V62" s="127"/>
      <c r="Y62" s="2">
        <v>9</v>
      </c>
      <c r="Z62" s="31" t="str">
        <f>'資料1.参加者及び面積'!F11</f>
        <v>中野七郎</v>
      </c>
      <c r="AA62" s="52"/>
      <c r="AB62" s="52"/>
      <c r="AC62" s="52"/>
      <c r="AD62" s="60"/>
      <c r="AE62" s="67">
        <f>'資料1.参加者及び面積'!H11</f>
        <v>84000</v>
      </c>
      <c r="AF62" s="77"/>
      <c r="AG62" s="77"/>
      <c r="AH62" s="111"/>
      <c r="AI62" s="67">
        <f>IF('資料1.参加者及び面積'!$A$13="面積・単価で按分",INT('資料1.参加者及び面積'!$B$5*'資料1.参加者及び面積'!H11/'資料1.参加者及び面積'!$H$33),IF(AND((COUNTA('資料1.参加者及び面積'!$F$3:$F$32)-Y62)&gt;=0,'資料1.参加者及び面積'!$A$13="均等割りで按分"),INT('資料1.参加者及び面積'!$B$5/COUNTA('資料1.参加者及び面積'!$F$3:$F$32)),IF('資料1.参加者及び面積'!$A$13="面積で按分",INT('資料1.参加者及び面積'!$B$5*'資料1.参加者及び面積'!G11/'資料1.参加者及び面積'!$G$33),"")))</f>
        <v>294000</v>
      </c>
      <c r="AJ62" s="77"/>
      <c r="AK62" s="129"/>
      <c r="AL62" s="137">
        <f>IF('資料1.参加者及び面積'!$A$13="面積・単価で按分",INT('資料2.内訳'!$B$52*'資料1.参加者及び面積'!H11/'資料1.参加者及び面積'!$H$33),IF(AND((COUNTA('資料1.参加者及び面積'!$F$3:$F$32)-Y62)&gt;=0,'資料1.参加者及び面積'!$A$13="均等割りで按分"),INT('資料2.内訳'!$B$52/COUNTA('資料1.参加者及び面積'!$F$3:$F$32)),IF('資料1.参加者及び面積'!$A$13="面積で按分",INT('資料2.内訳'!$B$52*'資料1.参加者及び面積'!G11/'資料1.参加者及び面積'!$G$33),"")))</f>
        <v>666666</v>
      </c>
      <c r="AM62" s="77"/>
      <c r="AN62" s="111"/>
      <c r="AO62" s="67">
        <f t="shared" si="7"/>
        <v>378000</v>
      </c>
      <c r="AP62" s="77"/>
      <c r="AQ62" s="129"/>
      <c r="AR62" s="137">
        <f t="shared" si="8"/>
        <v>666666</v>
      </c>
      <c r="AS62" s="77"/>
      <c r="AT62" s="129"/>
      <c r="AV62" s="2">
        <f>IF($AG$16-$AI$84-SUM($AV$54:AV61)&gt;0,1,0)</f>
        <v>0</v>
      </c>
      <c r="AW62" s="2">
        <f>IF($AH$42-$AL$84-SUM($AW$54:AW61)&gt;0,1,0)</f>
        <v>0</v>
      </c>
    </row>
    <row r="63" spans="1:49" s="2" customFormat="1" ht="25.5" customHeight="1">
      <c r="A63" s="2">
        <v>10</v>
      </c>
      <c r="B63" s="32" t="str">
        <f t="shared" si="1"/>
        <v>矢上八郎</v>
      </c>
      <c r="C63" s="53"/>
      <c r="D63" s="53"/>
      <c r="E63" s="53"/>
      <c r="F63" s="61"/>
      <c r="G63" s="66">
        <f t="shared" si="2"/>
        <v>84000</v>
      </c>
      <c r="H63" s="76"/>
      <c r="I63" s="76"/>
      <c r="J63" s="110"/>
      <c r="K63" s="66">
        <f t="shared" si="3"/>
        <v>294000</v>
      </c>
      <c r="L63" s="76"/>
      <c r="M63" s="128"/>
      <c r="N63" s="136">
        <f t="shared" si="4"/>
        <v>666666</v>
      </c>
      <c r="O63" s="76"/>
      <c r="P63" s="110"/>
      <c r="Q63" s="66">
        <f t="shared" si="5"/>
        <v>378000</v>
      </c>
      <c r="R63" s="76"/>
      <c r="S63" s="128"/>
      <c r="T63" s="136">
        <f t="shared" si="6"/>
        <v>666666</v>
      </c>
      <c r="U63" s="76"/>
      <c r="V63" s="128"/>
      <c r="Y63" s="2">
        <v>10</v>
      </c>
      <c r="Z63" s="32" t="str">
        <f>'資料1.参加者及び面積'!F12</f>
        <v>矢上八郎</v>
      </c>
      <c r="AA63" s="53"/>
      <c r="AB63" s="53"/>
      <c r="AC63" s="53"/>
      <c r="AD63" s="61"/>
      <c r="AE63" s="70">
        <f>'資料1.参加者及び面積'!H12</f>
        <v>84000</v>
      </c>
      <c r="AF63" s="80"/>
      <c r="AG63" s="80"/>
      <c r="AH63" s="114"/>
      <c r="AI63" s="70">
        <f>IF('資料1.参加者及び面積'!$A$13="面積・単価で按分",INT('資料1.参加者及び面積'!$B$5*'資料1.参加者及び面積'!H12/'資料1.参加者及び面積'!$H$33),IF(AND((COUNTA('資料1.参加者及び面積'!$F$3:$F$32)-Y63)&gt;=0,'資料1.参加者及び面積'!$A$13="均等割りで按分"),INT('資料1.参加者及び面積'!$B$5/COUNTA('資料1.参加者及び面積'!$F$3:$F$32)),IF('資料1.参加者及び面積'!$A$13="面積で按分",INT('資料1.参加者及び面積'!$B$5*'資料1.参加者及び面積'!G12/'資料1.参加者及び面積'!$G$33),"")))</f>
        <v>294000</v>
      </c>
      <c r="AJ63" s="80"/>
      <c r="AK63" s="132"/>
      <c r="AL63" s="139">
        <f>IF('資料1.参加者及び面積'!$A$13="面積・単価で按分",INT('資料2.内訳'!$B$52*'資料1.参加者及び面積'!H12/'資料1.参加者及び面積'!$H$33),IF(AND((COUNTA('資料1.参加者及び面積'!$F$3:$F$32)-Y63)&gt;=0,'資料1.参加者及び面積'!$A$13="均等割りで按分"),INT('資料2.内訳'!$B$52/COUNTA('資料1.参加者及び面積'!$F$3:$F$32)),IF('資料1.参加者及び面積'!$A$13="面積で按分",INT('資料2.内訳'!$B$52*'資料1.参加者及び面積'!G12/'資料1.参加者及び面積'!$G$33),"")))</f>
        <v>666666</v>
      </c>
      <c r="AM63" s="80"/>
      <c r="AN63" s="114"/>
      <c r="AO63" s="70">
        <f t="shared" si="7"/>
        <v>378000</v>
      </c>
      <c r="AP63" s="80"/>
      <c r="AQ63" s="132"/>
      <c r="AR63" s="139">
        <f t="shared" si="8"/>
        <v>666666</v>
      </c>
      <c r="AS63" s="80"/>
      <c r="AT63" s="132"/>
      <c r="AV63" s="2">
        <f>IF($AG$16-$AI$84-SUM($AV$54:AV62)&gt;0,1,0)</f>
        <v>0</v>
      </c>
      <c r="AW63" s="2">
        <f>IF($AH$42-$AL$84-SUM($AW$54:AW62)&gt;0,1,0)</f>
        <v>0</v>
      </c>
    </row>
    <row r="64" spans="1:49" s="2" customFormat="1" ht="25.5" customHeight="1">
      <c r="A64" s="2">
        <v>11</v>
      </c>
      <c r="B64" s="30" t="str">
        <f t="shared" si="1"/>
        <v>日和九郎</v>
      </c>
      <c r="C64" s="51"/>
      <c r="D64" s="51"/>
      <c r="E64" s="51"/>
      <c r="F64" s="59"/>
      <c r="G64" s="64">
        <f t="shared" si="2"/>
        <v>126000</v>
      </c>
      <c r="H64" s="74"/>
      <c r="I64" s="74"/>
      <c r="J64" s="108"/>
      <c r="K64" s="64">
        <f t="shared" si="3"/>
        <v>294000</v>
      </c>
      <c r="L64" s="74"/>
      <c r="M64" s="126"/>
      <c r="N64" s="134">
        <f t="shared" si="4"/>
        <v>666666</v>
      </c>
      <c r="O64" s="74"/>
      <c r="P64" s="108"/>
      <c r="Q64" s="64">
        <f t="shared" si="5"/>
        <v>420000</v>
      </c>
      <c r="R64" s="74"/>
      <c r="S64" s="126"/>
      <c r="T64" s="134">
        <f t="shared" si="6"/>
        <v>666666</v>
      </c>
      <c r="U64" s="74"/>
      <c r="V64" s="126"/>
      <c r="Y64" s="2">
        <v>11</v>
      </c>
      <c r="Z64" s="30" t="str">
        <f>'資料1.参加者及び面積'!F13</f>
        <v>日和九郎</v>
      </c>
      <c r="AA64" s="51"/>
      <c r="AB64" s="51"/>
      <c r="AC64" s="51"/>
      <c r="AD64" s="59"/>
      <c r="AE64" s="69">
        <f>'資料1.参加者及び面積'!H13</f>
        <v>126000</v>
      </c>
      <c r="AF64" s="79"/>
      <c r="AG64" s="79"/>
      <c r="AH64" s="113"/>
      <c r="AI64" s="69">
        <f>IF('資料1.参加者及び面積'!$A$13="面積・単価で按分",INT('資料1.参加者及び面積'!$B$5*'資料1.参加者及び面積'!H13/'資料1.参加者及び面積'!$H$33),IF(AND((COUNTA('資料1.参加者及び面積'!$F$3:$F$32)-Y64)&gt;=0,'資料1.参加者及び面積'!$A$13="均等割りで按分"),INT('資料1.参加者及び面積'!$B$5/COUNTA('資料1.参加者及び面積'!$F$3:$F$32)),IF('資料1.参加者及び面積'!$A$13="面積で按分",INT('資料1.参加者及び面積'!$B$5*'資料1.参加者及び面積'!G13/'資料1.参加者及び面積'!$G$33),"")))</f>
        <v>294000</v>
      </c>
      <c r="AJ64" s="79"/>
      <c r="AK64" s="131"/>
      <c r="AL64" s="103">
        <f>IF('資料1.参加者及び面積'!$A$13="面積・単価で按分",INT('資料2.内訳'!$B$52*'資料1.参加者及び面積'!H13/'資料1.参加者及び面積'!$H$33),IF(AND((COUNTA('資料1.参加者及び面積'!$F$3:$F$32)-Y64)&gt;=0,'資料1.参加者及び面積'!$A$13="均等割りで按分"),INT('資料2.内訳'!$B$52/COUNTA('資料1.参加者及び面積'!$F$3:$F$32)),IF('資料1.参加者及び面積'!$A$13="面積で按分",INT('資料2.内訳'!$B$52*'資料1.参加者及び面積'!G13/'資料1.参加者及び面積'!$G$33),"")))</f>
        <v>666666</v>
      </c>
      <c r="AM64" s="79"/>
      <c r="AN64" s="113"/>
      <c r="AO64" s="69">
        <f t="shared" si="7"/>
        <v>420000</v>
      </c>
      <c r="AP64" s="79"/>
      <c r="AQ64" s="131"/>
      <c r="AR64" s="103">
        <f t="shared" si="8"/>
        <v>666666</v>
      </c>
      <c r="AS64" s="79"/>
      <c r="AT64" s="131"/>
      <c r="AV64" s="2">
        <f>IF($AG$16-$AI$84-SUM($AV$54:AV63)&gt;0,1,0)</f>
        <v>0</v>
      </c>
      <c r="AW64" s="2">
        <f>IF($AH$42-$AL$84-SUM($AW$54:AW63)&gt;0,1,0)</f>
        <v>0</v>
      </c>
    </row>
    <row r="65" spans="1:49" s="2" customFormat="1" ht="25.5" customHeight="1">
      <c r="A65" s="2">
        <v>12</v>
      </c>
      <c r="B65" s="31" t="str">
        <f t="shared" si="1"/>
        <v>日貫十兵衛</v>
      </c>
      <c r="C65" s="52"/>
      <c r="D65" s="52"/>
      <c r="E65" s="52"/>
      <c r="F65" s="60"/>
      <c r="G65" s="65">
        <f t="shared" si="2"/>
        <v>126000</v>
      </c>
      <c r="H65" s="75"/>
      <c r="I65" s="75"/>
      <c r="J65" s="109"/>
      <c r="K65" s="65">
        <f t="shared" si="3"/>
        <v>294000</v>
      </c>
      <c r="L65" s="75"/>
      <c r="M65" s="127"/>
      <c r="N65" s="135">
        <f t="shared" si="4"/>
        <v>666666</v>
      </c>
      <c r="O65" s="75"/>
      <c r="P65" s="109"/>
      <c r="Q65" s="65">
        <f t="shared" si="5"/>
        <v>420000</v>
      </c>
      <c r="R65" s="75"/>
      <c r="S65" s="127"/>
      <c r="T65" s="135">
        <f t="shared" si="6"/>
        <v>666666</v>
      </c>
      <c r="U65" s="75"/>
      <c r="V65" s="127"/>
      <c r="Y65" s="2">
        <v>12</v>
      </c>
      <c r="Z65" s="31" t="str">
        <f>'資料1.参加者及び面積'!F14</f>
        <v>日貫十兵衛</v>
      </c>
      <c r="AA65" s="52"/>
      <c r="AB65" s="52"/>
      <c r="AC65" s="52"/>
      <c r="AD65" s="60"/>
      <c r="AE65" s="67">
        <f>'資料1.参加者及び面積'!H14</f>
        <v>126000</v>
      </c>
      <c r="AF65" s="77"/>
      <c r="AG65" s="77"/>
      <c r="AH65" s="111"/>
      <c r="AI65" s="67">
        <f>IF('資料1.参加者及び面積'!$A$13="面積・単価で按分",INT('資料1.参加者及び面積'!$B$5*'資料1.参加者及び面積'!H14/'資料1.参加者及び面積'!$H$33),IF(AND((COUNTA('資料1.参加者及び面積'!$F$3:$F$32)-Y65)&gt;=0,'資料1.参加者及び面積'!$A$13="均等割りで按分"),INT('資料1.参加者及び面積'!$B$5/COUNTA('資料1.参加者及び面積'!$F$3:$F$32)),IF('資料1.参加者及び面積'!$A$13="面積で按分",INT('資料1.参加者及び面積'!$B$5*'資料1.参加者及び面積'!G14/'資料1.参加者及び面積'!$G$33),"")))</f>
        <v>294000</v>
      </c>
      <c r="AJ65" s="77"/>
      <c r="AK65" s="129"/>
      <c r="AL65" s="137">
        <f>IF('資料1.参加者及び面積'!$A$13="面積・単価で按分",INT('資料2.内訳'!$B$52*'資料1.参加者及び面積'!H14/'資料1.参加者及び面積'!$H$33),IF(AND((COUNTA('資料1.参加者及び面積'!$F$3:$F$32)-Y65)&gt;=0,'資料1.参加者及び面積'!$A$13="均等割りで按分"),INT('資料2.内訳'!$B$52/COUNTA('資料1.参加者及び面積'!$F$3:$F$32)),IF('資料1.参加者及び面積'!$A$13="面積で按分",INT('資料2.内訳'!$B$52*'資料1.参加者及び面積'!G14/'資料1.参加者及び面積'!$G$33),"")))</f>
        <v>666666</v>
      </c>
      <c r="AM65" s="77"/>
      <c r="AN65" s="111"/>
      <c r="AO65" s="67">
        <f t="shared" si="7"/>
        <v>420000</v>
      </c>
      <c r="AP65" s="77"/>
      <c r="AQ65" s="129"/>
      <c r="AR65" s="137">
        <f t="shared" si="8"/>
        <v>666666</v>
      </c>
      <c r="AS65" s="77"/>
      <c r="AT65" s="129"/>
      <c r="AV65" s="2">
        <f>IF($AG$16-$AI$84-SUM($AV$54:AV64)&gt;0,1,0)</f>
        <v>0</v>
      </c>
      <c r="AW65" s="2">
        <f>IF($AH$42-$AL$84-SUM($AW$54:AW64)&gt;0,1,0)</f>
        <v>0</v>
      </c>
    </row>
    <row r="66" spans="1:49" s="2" customFormat="1" ht="25.5" customHeight="1">
      <c r="A66" s="2">
        <v>13</v>
      </c>
      <c r="B66" s="31">
        <f t="shared" si="1"/>
        <v>0</v>
      </c>
      <c r="C66" s="52"/>
      <c r="D66" s="52"/>
      <c r="E66" s="52"/>
      <c r="F66" s="60"/>
      <c r="G66" s="67">
        <f t="shared" si="2"/>
        <v>0</v>
      </c>
      <c r="H66" s="77"/>
      <c r="I66" s="77"/>
      <c r="J66" s="111"/>
      <c r="K66" s="67" t="str">
        <f t="shared" si="3"/>
        <v/>
      </c>
      <c r="L66" s="77"/>
      <c r="M66" s="129"/>
      <c r="N66" s="137" t="str">
        <f t="shared" si="4"/>
        <v/>
      </c>
      <c r="O66" s="77"/>
      <c r="P66" s="111"/>
      <c r="Q66" s="67" t="str">
        <f t="shared" si="5"/>
        <v/>
      </c>
      <c r="R66" s="77"/>
      <c r="S66" s="129"/>
      <c r="T66" s="137" t="str">
        <f t="shared" si="6"/>
        <v/>
      </c>
      <c r="U66" s="77"/>
      <c r="V66" s="129"/>
      <c r="Y66" s="2">
        <v>13</v>
      </c>
      <c r="Z66" s="31">
        <f>'資料1.参加者及び面積'!F15</f>
        <v>0</v>
      </c>
      <c r="AA66" s="52"/>
      <c r="AB66" s="52"/>
      <c r="AC66" s="52"/>
      <c r="AD66" s="60"/>
      <c r="AE66" s="67">
        <f>'資料1.参加者及び面積'!H15</f>
        <v>0</v>
      </c>
      <c r="AF66" s="77"/>
      <c r="AG66" s="77"/>
      <c r="AH66" s="111"/>
      <c r="AI66" s="67" t="str">
        <f>IF('資料1.参加者及び面積'!$A$13="面積・単価で按分",INT('資料1.参加者及び面積'!$B$5*'資料1.参加者及び面積'!H15/'資料1.参加者及び面積'!$H$33),IF(AND((COUNTA('資料1.参加者及び面積'!$F$3:$F$32)-Y66)&gt;=0,'資料1.参加者及び面積'!$A$13="均等割りで按分"),INT('資料1.参加者及び面積'!$B$5/COUNTA('資料1.参加者及び面積'!$F$3:$F$32)),IF('資料1.参加者及び面積'!$A$13="面積で按分",INT('資料1.参加者及び面積'!$B$5*'資料1.参加者及び面積'!G15/'資料1.参加者及び面積'!$G$33),"")))</f>
        <v/>
      </c>
      <c r="AJ66" s="77"/>
      <c r="AK66" s="129"/>
      <c r="AL66" s="137" t="str">
        <f>IF('資料1.参加者及び面積'!$A$13="面積・単価で按分",INT('資料2.内訳'!$B$52*'資料1.参加者及び面積'!H15/'資料1.参加者及び面積'!$H$33),IF(AND((COUNTA('資料1.参加者及び面積'!$F$3:$F$32)-Y66)&gt;=0,'資料1.参加者及び面積'!$A$13="均等割りで按分"),INT('資料2.内訳'!$B$52/COUNTA('資料1.参加者及び面積'!$F$3:$F$32)),IF('資料1.参加者及び面積'!$A$13="面積で按分",INT('資料2.内訳'!$B$52*'資料1.参加者及び面積'!G15/'資料1.参加者及び面積'!$G$33),"")))</f>
        <v/>
      </c>
      <c r="AM66" s="77"/>
      <c r="AN66" s="111"/>
      <c r="AO66" s="67" t="e">
        <f t="shared" si="7"/>
        <v>#VALUE!</v>
      </c>
      <c r="AP66" s="77"/>
      <c r="AQ66" s="129"/>
      <c r="AR66" s="137" t="str">
        <f t="shared" si="8"/>
        <v/>
      </c>
      <c r="AS66" s="77"/>
      <c r="AT66" s="129"/>
      <c r="AV66" s="2">
        <f>IF($AG$16-$AI$84-SUM($AV$54:AV65)&gt;0,1,0)</f>
        <v>0</v>
      </c>
      <c r="AW66" s="2">
        <f>IF($AH$42-$AL$84-SUM($AW$54:AW65)&gt;0,1,0)</f>
        <v>0</v>
      </c>
    </row>
    <row r="67" spans="1:49" s="2" customFormat="1" ht="25.5" customHeight="1">
      <c r="A67" s="2">
        <v>14</v>
      </c>
      <c r="B67" s="31">
        <f t="shared" si="1"/>
        <v>0</v>
      </c>
      <c r="C67" s="52"/>
      <c r="D67" s="52"/>
      <c r="E67" s="52"/>
      <c r="F67" s="60"/>
      <c r="G67" s="67">
        <f t="shared" si="2"/>
        <v>0</v>
      </c>
      <c r="H67" s="77"/>
      <c r="I67" s="77"/>
      <c r="J67" s="111"/>
      <c r="K67" s="67" t="str">
        <f t="shared" si="3"/>
        <v/>
      </c>
      <c r="L67" s="77"/>
      <c r="M67" s="129"/>
      <c r="N67" s="137" t="str">
        <f t="shared" si="4"/>
        <v/>
      </c>
      <c r="O67" s="77"/>
      <c r="P67" s="111"/>
      <c r="Q67" s="67" t="str">
        <f t="shared" si="5"/>
        <v/>
      </c>
      <c r="R67" s="77"/>
      <c r="S67" s="129"/>
      <c r="T67" s="137" t="str">
        <f t="shared" si="6"/>
        <v/>
      </c>
      <c r="U67" s="77"/>
      <c r="V67" s="129"/>
      <c r="Y67" s="2">
        <v>14</v>
      </c>
      <c r="Z67" s="31">
        <f>'資料1.参加者及び面積'!F16</f>
        <v>0</v>
      </c>
      <c r="AA67" s="52"/>
      <c r="AB67" s="52"/>
      <c r="AC67" s="52"/>
      <c r="AD67" s="60"/>
      <c r="AE67" s="67">
        <f>'資料1.参加者及び面積'!H16</f>
        <v>0</v>
      </c>
      <c r="AF67" s="77"/>
      <c r="AG67" s="77"/>
      <c r="AH67" s="111"/>
      <c r="AI67" s="67" t="str">
        <f>IF('資料1.参加者及び面積'!$A$13="面積・単価で按分",INT('資料1.参加者及び面積'!$B$5*'資料1.参加者及び面積'!H16/'資料1.参加者及び面積'!$H$33),IF(AND((COUNTA('資料1.参加者及び面積'!$F$3:$F$32)-Y67)&gt;=0,'資料1.参加者及び面積'!$A$13="均等割りで按分"),INT('資料1.参加者及び面積'!$B$5/COUNTA('資料1.参加者及び面積'!$F$3:$F$32)),IF('資料1.参加者及び面積'!$A$13="面積で按分",INT('資料1.参加者及び面積'!$B$5*'資料1.参加者及び面積'!G16/'資料1.参加者及び面積'!$G$33),"")))</f>
        <v/>
      </c>
      <c r="AJ67" s="77"/>
      <c r="AK67" s="129"/>
      <c r="AL67" s="137" t="str">
        <f>IF('資料1.参加者及び面積'!$A$13="面積・単価で按分",INT('資料2.内訳'!$B$52*'資料1.参加者及び面積'!H16/'資料1.参加者及び面積'!$H$33),IF(AND((COUNTA('資料1.参加者及び面積'!$F$3:$F$32)-Y67)&gt;=0,'資料1.参加者及び面積'!$A$13="均等割りで按分"),INT('資料2.内訳'!$B$52/COUNTA('資料1.参加者及び面積'!$F$3:$F$32)),IF('資料1.参加者及び面積'!$A$13="面積で按分",INT('資料2.内訳'!$B$52*'資料1.参加者及び面積'!G16/'資料1.参加者及び面積'!$G$33),"")))</f>
        <v/>
      </c>
      <c r="AM67" s="77"/>
      <c r="AN67" s="111"/>
      <c r="AO67" s="67" t="e">
        <f t="shared" si="7"/>
        <v>#VALUE!</v>
      </c>
      <c r="AP67" s="77"/>
      <c r="AQ67" s="129"/>
      <c r="AR67" s="137" t="str">
        <f t="shared" si="8"/>
        <v/>
      </c>
      <c r="AS67" s="77"/>
      <c r="AT67" s="129"/>
      <c r="AV67" s="2">
        <f>IF($AG$16-$AI$84-SUM($AV$54:AV66)&gt;0,1,0)</f>
        <v>0</v>
      </c>
      <c r="AW67" s="2">
        <f>IF($AH$42-$AL$84-SUM($AW$54:AW66)&gt;0,1,0)</f>
        <v>0</v>
      </c>
    </row>
    <row r="68" spans="1:49" s="2" customFormat="1" ht="25.5" customHeight="1">
      <c r="A68" s="2">
        <v>15</v>
      </c>
      <c r="B68" s="33">
        <f t="shared" si="1"/>
        <v>0</v>
      </c>
      <c r="C68" s="54"/>
      <c r="D68" s="54"/>
      <c r="E68" s="54"/>
      <c r="F68" s="62"/>
      <c r="G68" s="68">
        <f t="shared" si="2"/>
        <v>0</v>
      </c>
      <c r="H68" s="78"/>
      <c r="I68" s="78"/>
      <c r="J68" s="112"/>
      <c r="K68" s="68" t="str">
        <f t="shared" si="3"/>
        <v/>
      </c>
      <c r="L68" s="78"/>
      <c r="M68" s="130"/>
      <c r="N68" s="138" t="str">
        <f t="shared" si="4"/>
        <v/>
      </c>
      <c r="O68" s="78"/>
      <c r="P68" s="112"/>
      <c r="Q68" s="68" t="str">
        <f t="shared" si="5"/>
        <v/>
      </c>
      <c r="R68" s="78"/>
      <c r="S68" s="130"/>
      <c r="T68" s="138" t="str">
        <f t="shared" si="6"/>
        <v/>
      </c>
      <c r="U68" s="78"/>
      <c r="V68" s="130"/>
      <c r="Y68" s="2">
        <v>15</v>
      </c>
      <c r="Z68" s="33">
        <f>'資料1.参加者及び面積'!F17</f>
        <v>0</v>
      </c>
      <c r="AA68" s="54"/>
      <c r="AB68" s="54"/>
      <c r="AC68" s="54"/>
      <c r="AD68" s="62"/>
      <c r="AE68" s="68">
        <f>'資料1.参加者及び面積'!H17</f>
        <v>0</v>
      </c>
      <c r="AF68" s="78"/>
      <c r="AG68" s="78"/>
      <c r="AH68" s="112"/>
      <c r="AI68" s="68" t="str">
        <f>IF('資料1.参加者及び面積'!$A$13="面積・単価で按分",INT('資料1.参加者及び面積'!$B$5*'資料1.参加者及び面積'!H17/'資料1.参加者及び面積'!$H$33),IF(AND((COUNTA('資料1.参加者及び面積'!$F$3:$F$32)-Y68)&gt;=0,'資料1.参加者及び面積'!$A$13="均等割りで按分"),INT('資料1.参加者及び面積'!$B$5/COUNTA('資料1.参加者及び面積'!$F$3:$F$32)),IF('資料1.参加者及び面積'!$A$13="面積で按分",INT('資料1.参加者及び面積'!$B$5*'資料1.参加者及び面積'!G17/'資料1.参加者及び面積'!$G$33),"")))</f>
        <v/>
      </c>
      <c r="AJ68" s="78"/>
      <c r="AK68" s="130"/>
      <c r="AL68" s="138" t="str">
        <f>IF('資料1.参加者及び面積'!$A$13="面積・単価で按分",INT('資料2.内訳'!$B$52*'資料1.参加者及び面積'!H17/'資料1.参加者及び面積'!$H$33),IF(AND((COUNTA('資料1.参加者及び面積'!$F$3:$F$32)-Y68)&gt;=0,'資料1.参加者及び面積'!$A$13="均等割りで按分"),INT('資料2.内訳'!$B$52/COUNTA('資料1.参加者及び面積'!$F$3:$F$32)),IF('資料1.参加者及び面積'!$A$13="面積で按分",INT('資料2.内訳'!$B$52*'資料1.参加者及び面積'!G17/'資料1.参加者及び面積'!$G$33),"")))</f>
        <v/>
      </c>
      <c r="AM68" s="78"/>
      <c r="AN68" s="112"/>
      <c r="AO68" s="68" t="e">
        <f t="shared" si="7"/>
        <v>#VALUE!</v>
      </c>
      <c r="AP68" s="78"/>
      <c r="AQ68" s="130"/>
      <c r="AR68" s="138" t="str">
        <f t="shared" si="8"/>
        <v/>
      </c>
      <c r="AS68" s="78"/>
      <c r="AT68" s="130"/>
      <c r="AV68" s="2">
        <f>IF($AG$16-$AI$84-SUM($AV$54:AV67)&gt;0,1,0)</f>
        <v>0</v>
      </c>
      <c r="AW68" s="2">
        <f>IF($AH$42-$AL$84-SUM($AW$54:AW67)&gt;0,1,0)</f>
        <v>0</v>
      </c>
    </row>
    <row r="69" spans="1:49" s="2" customFormat="1" ht="25.5" customHeight="1">
      <c r="A69" s="2">
        <v>16</v>
      </c>
      <c r="B69" s="30">
        <f t="shared" si="1"/>
        <v>0</v>
      </c>
      <c r="C69" s="51"/>
      <c r="D69" s="51"/>
      <c r="E69" s="51"/>
      <c r="F69" s="59"/>
      <c r="G69" s="69">
        <f t="shared" si="2"/>
        <v>0</v>
      </c>
      <c r="H69" s="79"/>
      <c r="I69" s="79"/>
      <c r="J69" s="113"/>
      <c r="K69" s="69" t="str">
        <f t="shared" si="3"/>
        <v/>
      </c>
      <c r="L69" s="79"/>
      <c r="M69" s="131"/>
      <c r="N69" s="103" t="str">
        <f t="shared" si="4"/>
        <v/>
      </c>
      <c r="O69" s="79"/>
      <c r="P69" s="113"/>
      <c r="Q69" s="69" t="str">
        <f t="shared" si="5"/>
        <v/>
      </c>
      <c r="R69" s="79"/>
      <c r="S69" s="131"/>
      <c r="T69" s="103" t="str">
        <f t="shared" si="6"/>
        <v/>
      </c>
      <c r="U69" s="79"/>
      <c r="V69" s="131"/>
      <c r="Y69" s="2">
        <v>16</v>
      </c>
      <c r="Z69" s="30">
        <f>'資料1.参加者及び面積'!F18</f>
        <v>0</v>
      </c>
      <c r="AA69" s="51"/>
      <c r="AB69" s="51"/>
      <c r="AC69" s="51"/>
      <c r="AD69" s="59"/>
      <c r="AE69" s="69">
        <f>'資料1.参加者及び面積'!H18</f>
        <v>0</v>
      </c>
      <c r="AF69" s="79"/>
      <c r="AG69" s="79"/>
      <c r="AH69" s="113"/>
      <c r="AI69" s="69" t="str">
        <f>IF('資料1.参加者及び面積'!$A$13="面積・単価で按分",INT('資料1.参加者及び面積'!$B$5*'資料1.参加者及び面積'!H18/'資料1.参加者及び面積'!$H$33),IF(AND((COUNTA('資料1.参加者及び面積'!$F$3:$F$32)-Y69)&gt;=0,'資料1.参加者及び面積'!$A$13="均等割りで按分"),INT('資料1.参加者及び面積'!$B$5/COUNTA('資料1.参加者及び面積'!$F$3:$F$32)),IF('資料1.参加者及び面積'!$A$13="面積で按分",INT('資料1.参加者及び面積'!$B$5*'資料1.参加者及び面積'!G18/'資料1.参加者及び面積'!$G$33),"")))</f>
        <v/>
      </c>
      <c r="AJ69" s="79"/>
      <c r="AK69" s="131"/>
      <c r="AL69" s="103" t="str">
        <f>IF('資料1.参加者及び面積'!$A$13="面積・単価で按分",INT('資料2.内訳'!$B$52*'資料1.参加者及び面積'!H18/'資料1.参加者及び面積'!$H$33),IF(AND((COUNTA('資料1.参加者及び面積'!$F$3:$F$32)-Y69)&gt;=0,'資料1.参加者及び面積'!$A$13="均等割りで按分"),INT('資料2.内訳'!$B$52/COUNTA('資料1.参加者及び面積'!$F$3:$F$32)),IF('資料1.参加者及び面積'!$A$13="面積で按分",INT('資料2.内訳'!$B$52*'資料1.参加者及び面積'!G18/'資料1.参加者及び面積'!$G$33),"")))</f>
        <v/>
      </c>
      <c r="AM69" s="79"/>
      <c r="AN69" s="113"/>
      <c r="AO69" s="69" t="e">
        <f t="shared" si="7"/>
        <v>#VALUE!</v>
      </c>
      <c r="AP69" s="79"/>
      <c r="AQ69" s="131"/>
      <c r="AR69" s="103" t="str">
        <f t="shared" si="8"/>
        <v/>
      </c>
      <c r="AS69" s="79"/>
      <c r="AT69" s="131"/>
      <c r="AV69" s="2">
        <f>IF($AG$16-$AI$84-SUM($AV$54:AV68)&gt;0,1,0)</f>
        <v>0</v>
      </c>
      <c r="AW69" s="2">
        <f>IF($AH$42-$AL$84-SUM($AW$54:AW68)&gt;0,1,0)</f>
        <v>0</v>
      </c>
    </row>
    <row r="70" spans="1:49" s="2" customFormat="1" ht="25.5" customHeight="1">
      <c r="A70" s="2">
        <v>17</v>
      </c>
      <c r="B70" s="31">
        <f t="shared" si="1"/>
        <v>0</v>
      </c>
      <c r="C70" s="52"/>
      <c r="D70" s="52"/>
      <c r="E70" s="52"/>
      <c r="F70" s="60"/>
      <c r="G70" s="67">
        <f t="shared" si="2"/>
        <v>0</v>
      </c>
      <c r="H70" s="77"/>
      <c r="I70" s="77"/>
      <c r="J70" s="111"/>
      <c r="K70" s="67" t="str">
        <f t="shared" si="3"/>
        <v/>
      </c>
      <c r="L70" s="77"/>
      <c r="M70" s="129"/>
      <c r="N70" s="137" t="str">
        <f t="shared" si="4"/>
        <v/>
      </c>
      <c r="O70" s="77"/>
      <c r="P70" s="111"/>
      <c r="Q70" s="67" t="str">
        <f t="shared" si="5"/>
        <v/>
      </c>
      <c r="R70" s="77"/>
      <c r="S70" s="129"/>
      <c r="T70" s="137" t="str">
        <f t="shared" si="6"/>
        <v/>
      </c>
      <c r="U70" s="77"/>
      <c r="V70" s="129"/>
      <c r="Y70" s="2">
        <v>17</v>
      </c>
      <c r="Z70" s="31">
        <f>'資料1.参加者及び面積'!F19</f>
        <v>0</v>
      </c>
      <c r="AA70" s="52"/>
      <c r="AB70" s="52"/>
      <c r="AC70" s="52"/>
      <c r="AD70" s="60"/>
      <c r="AE70" s="67">
        <f>'資料1.参加者及び面積'!H19</f>
        <v>0</v>
      </c>
      <c r="AF70" s="77"/>
      <c r="AG70" s="77"/>
      <c r="AH70" s="111"/>
      <c r="AI70" s="67" t="str">
        <f>IF('資料1.参加者及び面積'!$A$13="面積・単価で按分",INT('資料1.参加者及び面積'!$B$5*'資料1.参加者及び面積'!H19/'資料1.参加者及び面積'!$H$33),IF(AND((COUNTA('資料1.参加者及び面積'!$F$3:$F$32)-Y70)&gt;=0,'資料1.参加者及び面積'!$A$13="均等割りで按分"),INT('資料1.参加者及び面積'!$B$5/COUNTA('資料1.参加者及び面積'!$F$3:$F$32)),IF('資料1.参加者及び面積'!$A$13="面積で按分",INT('資料1.参加者及び面積'!$B$5*'資料1.参加者及び面積'!G19/'資料1.参加者及び面積'!$G$33),"")))</f>
        <v/>
      </c>
      <c r="AJ70" s="77"/>
      <c r="AK70" s="129"/>
      <c r="AL70" s="137" t="str">
        <f>IF('資料1.参加者及び面積'!$A$13="面積・単価で按分",INT('資料2.内訳'!$B$52*'資料1.参加者及び面積'!H19/'資料1.参加者及び面積'!$H$33),IF(AND((COUNTA('資料1.参加者及び面積'!$F$3:$F$32)-Y70)&gt;=0,'資料1.参加者及び面積'!$A$13="均等割りで按分"),INT('資料2.内訳'!$B$52/COUNTA('資料1.参加者及び面積'!$F$3:$F$32)),IF('資料1.参加者及び面積'!$A$13="面積で按分",INT('資料2.内訳'!$B$52*'資料1.参加者及び面積'!G19/'資料1.参加者及び面積'!$G$33),"")))</f>
        <v/>
      </c>
      <c r="AM70" s="77"/>
      <c r="AN70" s="111"/>
      <c r="AO70" s="67" t="e">
        <f t="shared" si="7"/>
        <v>#VALUE!</v>
      </c>
      <c r="AP70" s="77"/>
      <c r="AQ70" s="129"/>
      <c r="AR70" s="137" t="str">
        <f t="shared" si="8"/>
        <v/>
      </c>
      <c r="AS70" s="77"/>
      <c r="AT70" s="129"/>
      <c r="AV70" s="2">
        <f>IF($AG$16-$AI$84-SUM($AV$54:AV69)&gt;0,1,0)</f>
        <v>0</v>
      </c>
      <c r="AW70" s="2">
        <f>IF($AH$42-$AL$84-SUM($AW$54:AW69)&gt;0,1,0)</f>
        <v>0</v>
      </c>
    </row>
    <row r="71" spans="1:49" s="2" customFormat="1" ht="25.5" customHeight="1">
      <c r="A71" s="2">
        <v>18</v>
      </c>
      <c r="B71" s="31">
        <f t="shared" si="1"/>
        <v>0</v>
      </c>
      <c r="C71" s="52"/>
      <c r="D71" s="52"/>
      <c r="E71" s="52"/>
      <c r="F71" s="60"/>
      <c r="G71" s="67">
        <f t="shared" si="2"/>
        <v>0</v>
      </c>
      <c r="H71" s="77"/>
      <c r="I71" s="77"/>
      <c r="J71" s="111"/>
      <c r="K71" s="67" t="str">
        <f t="shared" si="3"/>
        <v/>
      </c>
      <c r="L71" s="77"/>
      <c r="M71" s="129"/>
      <c r="N71" s="137" t="str">
        <f t="shared" si="4"/>
        <v/>
      </c>
      <c r="O71" s="77"/>
      <c r="P71" s="111"/>
      <c r="Q71" s="67" t="str">
        <f t="shared" si="5"/>
        <v/>
      </c>
      <c r="R71" s="77"/>
      <c r="S71" s="129"/>
      <c r="T71" s="137" t="str">
        <f t="shared" si="6"/>
        <v/>
      </c>
      <c r="U71" s="77"/>
      <c r="V71" s="129"/>
      <c r="Y71" s="2">
        <v>18</v>
      </c>
      <c r="Z71" s="31">
        <f>'資料1.参加者及び面積'!F20</f>
        <v>0</v>
      </c>
      <c r="AA71" s="52"/>
      <c r="AB71" s="52"/>
      <c r="AC71" s="52"/>
      <c r="AD71" s="60"/>
      <c r="AE71" s="67">
        <f>'資料1.参加者及び面積'!H20</f>
        <v>0</v>
      </c>
      <c r="AF71" s="77"/>
      <c r="AG71" s="77"/>
      <c r="AH71" s="111"/>
      <c r="AI71" s="67" t="str">
        <f>IF('資料1.参加者及び面積'!$A$13="面積・単価で按分",INT('資料1.参加者及び面積'!$B$5*'資料1.参加者及び面積'!H20/'資料1.参加者及び面積'!$H$33),IF(AND((COUNTA('資料1.参加者及び面積'!$F$3:$F$32)-Y71)&gt;=0,'資料1.参加者及び面積'!$A$13="均等割りで按分"),INT('資料1.参加者及び面積'!$B$5/COUNTA('資料1.参加者及び面積'!$F$3:$F$32)),IF('資料1.参加者及び面積'!$A$13="面積で按分",INT('資料1.参加者及び面積'!$B$5*'資料1.参加者及び面積'!G20/'資料1.参加者及び面積'!$G$33),"")))</f>
        <v/>
      </c>
      <c r="AJ71" s="77"/>
      <c r="AK71" s="129"/>
      <c r="AL71" s="137" t="str">
        <f>IF('資料1.参加者及び面積'!$A$13="面積・単価で按分",INT('資料2.内訳'!$B$52*'資料1.参加者及び面積'!H20/'資料1.参加者及び面積'!$H$33),IF(AND((COUNTA('資料1.参加者及び面積'!$F$3:$F$32)-Y71)&gt;=0,'資料1.参加者及び面積'!$A$13="均等割りで按分"),INT('資料2.内訳'!$B$52/COUNTA('資料1.参加者及び面積'!$F$3:$F$32)),IF('資料1.参加者及び面積'!$A$13="面積で按分",INT('資料2.内訳'!$B$52*'資料1.参加者及び面積'!G20/'資料1.参加者及び面積'!$G$33),"")))</f>
        <v/>
      </c>
      <c r="AM71" s="77"/>
      <c r="AN71" s="111"/>
      <c r="AO71" s="67" t="e">
        <f t="shared" si="7"/>
        <v>#VALUE!</v>
      </c>
      <c r="AP71" s="77"/>
      <c r="AQ71" s="129"/>
      <c r="AR71" s="137" t="str">
        <f t="shared" si="8"/>
        <v/>
      </c>
      <c r="AS71" s="77"/>
      <c r="AT71" s="129"/>
      <c r="AV71" s="2">
        <f>IF($AG$16-$AI$84-SUM($AV$54:AV70)&gt;0,1,0)</f>
        <v>0</v>
      </c>
      <c r="AW71" s="2">
        <f>IF($AH$42-$AL$84-SUM($AW$54:AW70)&gt;0,1,0)</f>
        <v>0</v>
      </c>
    </row>
    <row r="72" spans="1:49" s="2" customFormat="1" ht="25.5" customHeight="1">
      <c r="A72" s="2">
        <v>19</v>
      </c>
      <c r="B72" s="31">
        <f t="shared" si="1"/>
        <v>0</v>
      </c>
      <c r="C72" s="52"/>
      <c r="D72" s="52"/>
      <c r="E72" s="52"/>
      <c r="F72" s="60"/>
      <c r="G72" s="67">
        <f t="shared" si="2"/>
        <v>0</v>
      </c>
      <c r="H72" s="77"/>
      <c r="I72" s="77"/>
      <c r="J72" s="111"/>
      <c r="K72" s="67" t="str">
        <f t="shared" si="3"/>
        <v/>
      </c>
      <c r="L72" s="77"/>
      <c r="M72" s="129"/>
      <c r="N72" s="137" t="str">
        <f t="shared" si="4"/>
        <v/>
      </c>
      <c r="O72" s="77"/>
      <c r="P72" s="111"/>
      <c r="Q72" s="67" t="str">
        <f t="shared" si="5"/>
        <v/>
      </c>
      <c r="R72" s="77"/>
      <c r="S72" s="129"/>
      <c r="T72" s="137" t="str">
        <f t="shared" si="6"/>
        <v/>
      </c>
      <c r="U72" s="77"/>
      <c r="V72" s="129"/>
      <c r="Y72" s="2">
        <v>19</v>
      </c>
      <c r="Z72" s="31">
        <f>'資料1.参加者及び面積'!F21</f>
        <v>0</v>
      </c>
      <c r="AA72" s="52"/>
      <c r="AB72" s="52"/>
      <c r="AC72" s="52"/>
      <c r="AD72" s="60"/>
      <c r="AE72" s="67">
        <f>'資料1.参加者及び面積'!H21</f>
        <v>0</v>
      </c>
      <c r="AF72" s="77"/>
      <c r="AG72" s="77"/>
      <c r="AH72" s="111"/>
      <c r="AI72" s="67" t="str">
        <f>IF('資料1.参加者及び面積'!$A$13="面積・単価で按分",INT('資料1.参加者及び面積'!$B$5*'資料1.参加者及び面積'!H21/'資料1.参加者及び面積'!$H$33),IF(AND((COUNTA('資料1.参加者及び面積'!$F$3:$F$32)-Y72)&gt;=0,'資料1.参加者及び面積'!$A$13="均等割りで按分"),INT('資料1.参加者及び面積'!$B$5/COUNTA('資料1.参加者及び面積'!$F$3:$F$32)),IF('資料1.参加者及び面積'!$A$13="面積で按分",INT('資料1.参加者及び面積'!$B$5*'資料1.参加者及び面積'!G21/'資料1.参加者及び面積'!$G$33),"")))</f>
        <v/>
      </c>
      <c r="AJ72" s="77"/>
      <c r="AK72" s="129"/>
      <c r="AL72" s="137" t="str">
        <f>IF('資料1.参加者及び面積'!$A$13="面積・単価で按分",INT('資料2.内訳'!$B$52*'資料1.参加者及び面積'!H21/'資料1.参加者及び面積'!$H$33),IF(AND((COUNTA('資料1.参加者及び面積'!$F$3:$F$32)-Y72)&gt;=0,'資料1.参加者及び面積'!$A$13="均等割りで按分"),INT('資料2.内訳'!$B$52/COUNTA('資料1.参加者及び面積'!$F$3:$F$32)),IF('資料1.参加者及び面積'!$A$13="面積で按分",INT('資料2.内訳'!$B$52*'資料1.参加者及び面積'!G21/'資料1.参加者及び面積'!$G$33),"")))</f>
        <v/>
      </c>
      <c r="AM72" s="77"/>
      <c r="AN72" s="111"/>
      <c r="AO72" s="67" t="e">
        <f t="shared" si="7"/>
        <v>#VALUE!</v>
      </c>
      <c r="AP72" s="77"/>
      <c r="AQ72" s="129"/>
      <c r="AR72" s="137" t="str">
        <f t="shared" si="8"/>
        <v/>
      </c>
      <c r="AS72" s="77"/>
      <c r="AT72" s="129"/>
      <c r="AV72" s="2">
        <f>IF($AG$16-$AI$84-SUM($AV$54:AV71)&gt;0,1,0)</f>
        <v>0</v>
      </c>
      <c r="AW72" s="2">
        <f>IF($AH$42-$AL$84-SUM($AW$54:AW71)&gt;0,1,0)</f>
        <v>0</v>
      </c>
    </row>
    <row r="73" spans="1:49" s="2" customFormat="1" ht="25.5" customHeight="1">
      <c r="A73" s="2">
        <v>20</v>
      </c>
      <c r="B73" s="32">
        <f t="shared" si="1"/>
        <v>0</v>
      </c>
      <c r="C73" s="53"/>
      <c r="D73" s="53"/>
      <c r="E73" s="53"/>
      <c r="F73" s="61"/>
      <c r="G73" s="70">
        <f t="shared" si="2"/>
        <v>0</v>
      </c>
      <c r="H73" s="80"/>
      <c r="I73" s="80"/>
      <c r="J73" s="114"/>
      <c r="K73" s="70" t="str">
        <f t="shared" si="3"/>
        <v/>
      </c>
      <c r="L73" s="80"/>
      <c r="M73" s="132"/>
      <c r="N73" s="139" t="str">
        <f t="shared" si="4"/>
        <v/>
      </c>
      <c r="O73" s="80"/>
      <c r="P73" s="114"/>
      <c r="Q73" s="70" t="str">
        <f t="shared" si="5"/>
        <v/>
      </c>
      <c r="R73" s="80"/>
      <c r="S73" s="132"/>
      <c r="T73" s="139" t="str">
        <f t="shared" si="6"/>
        <v/>
      </c>
      <c r="U73" s="80"/>
      <c r="V73" s="132"/>
      <c r="Y73" s="2">
        <v>20</v>
      </c>
      <c r="Z73" s="32">
        <f>'資料1.参加者及び面積'!F22</f>
        <v>0</v>
      </c>
      <c r="AA73" s="53"/>
      <c r="AB73" s="53"/>
      <c r="AC73" s="53"/>
      <c r="AD73" s="61"/>
      <c r="AE73" s="70">
        <f>'資料1.参加者及び面積'!H22</f>
        <v>0</v>
      </c>
      <c r="AF73" s="80"/>
      <c r="AG73" s="80"/>
      <c r="AH73" s="114"/>
      <c r="AI73" s="70" t="str">
        <f>IF('資料1.参加者及び面積'!$A$13="面積・単価で按分",INT('資料1.参加者及び面積'!$B$5*'資料1.参加者及び面積'!H22/'資料1.参加者及び面積'!$H$33),IF(AND((COUNTA('資料1.参加者及び面積'!$F$3:$F$32)-Y73)&gt;=0,'資料1.参加者及び面積'!$A$13="均等割りで按分"),INT('資料1.参加者及び面積'!$B$5/COUNTA('資料1.参加者及び面積'!$F$3:$F$32)),IF('資料1.参加者及び面積'!$A$13="面積で按分",INT('資料1.参加者及び面積'!$B$5*'資料1.参加者及び面積'!G22/'資料1.参加者及び面積'!$G$33),"")))</f>
        <v/>
      </c>
      <c r="AJ73" s="80"/>
      <c r="AK73" s="132"/>
      <c r="AL73" s="139" t="str">
        <f>IF('資料1.参加者及び面積'!$A$13="面積・単価で按分",INT('資料2.内訳'!$B$52*'資料1.参加者及び面積'!H22/'資料1.参加者及び面積'!$H$33),IF(AND((COUNTA('資料1.参加者及び面積'!$F$3:$F$32)-Y73)&gt;=0,'資料1.参加者及び面積'!$A$13="均等割りで按分"),INT('資料2.内訳'!$B$52/COUNTA('資料1.参加者及び面積'!$F$3:$F$32)),IF('資料1.参加者及び面積'!$A$13="面積で按分",INT('資料2.内訳'!$B$52*'資料1.参加者及び面積'!G22/'資料1.参加者及び面積'!$G$33),"")))</f>
        <v/>
      </c>
      <c r="AM73" s="80"/>
      <c r="AN73" s="114"/>
      <c r="AO73" s="70" t="e">
        <f t="shared" si="7"/>
        <v>#VALUE!</v>
      </c>
      <c r="AP73" s="80"/>
      <c r="AQ73" s="132"/>
      <c r="AR73" s="139" t="str">
        <f t="shared" si="8"/>
        <v/>
      </c>
      <c r="AS73" s="80"/>
      <c r="AT73" s="132"/>
      <c r="AV73" s="2">
        <f>IF($AG$16-$AI$84-SUM($AV$54:AV72)&gt;0,1,0)</f>
        <v>0</v>
      </c>
      <c r="AW73" s="2">
        <f>IF($AH$42-$AL$84-SUM($AW$54:AW72)&gt;0,1,0)</f>
        <v>0</v>
      </c>
    </row>
    <row r="74" spans="1:49" s="2" customFormat="1" ht="25.5" customHeight="1">
      <c r="A74" s="2">
        <v>21</v>
      </c>
      <c r="B74" s="30">
        <f t="shared" si="1"/>
        <v>0</v>
      </c>
      <c r="C74" s="51"/>
      <c r="D74" s="51"/>
      <c r="E74" s="51"/>
      <c r="F74" s="59"/>
      <c r="G74" s="69">
        <f t="shared" si="2"/>
        <v>0</v>
      </c>
      <c r="H74" s="79"/>
      <c r="I74" s="79"/>
      <c r="J74" s="113"/>
      <c r="K74" s="69" t="str">
        <f t="shared" si="3"/>
        <v/>
      </c>
      <c r="L74" s="79"/>
      <c r="M74" s="131"/>
      <c r="N74" s="103" t="str">
        <f t="shared" si="4"/>
        <v/>
      </c>
      <c r="O74" s="79"/>
      <c r="P74" s="113"/>
      <c r="Q74" s="69" t="str">
        <f t="shared" si="5"/>
        <v/>
      </c>
      <c r="R74" s="79"/>
      <c r="S74" s="131"/>
      <c r="T74" s="103" t="str">
        <f t="shared" si="6"/>
        <v/>
      </c>
      <c r="U74" s="79"/>
      <c r="V74" s="131"/>
      <c r="Y74" s="2">
        <v>21</v>
      </c>
      <c r="Z74" s="30">
        <f>'資料1.参加者及び面積'!F23</f>
        <v>0</v>
      </c>
      <c r="AA74" s="51"/>
      <c r="AB74" s="51"/>
      <c r="AC74" s="51"/>
      <c r="AD74" s="59"/>
      <c r="AE74" s="69">
        <f>'資料1.参加者及び面積'!H23</f>
        <v>0</v>
      </c>
      <c r="AF74" s="79"/>
      <c r="AG74" s="79"/>
      <c r="AH74" s="113"/>
      <c r="AI74" s="69" t="str">
        <f>IF('資料1.参加者及び面積'!$A$13="面積・単価で按分",INT('資料1.参加者及び面積'!$B$5*'資料1.参加者及び面積'!H23/'資料1.参加者及び面積'!$H$33),IF(AND((COUNTA('資料1.参加者及び面積'!$F$3:$F$32)-Y74)&gt;=0,'資料1.参加者及び面積'!$A$13="均等割りで按分"),INT('資料1.参加者及び面積'!$B$5/COUNTA('資料1.参加者及び面積'!$F$3:$F$32)),IF('資料1.参加者及び面積'!$A$13="面積で按分",INT('資料1.参加者及び面積'!$B$5*'資料1.参加者及び面積'!G23/'資料1.参加者及び面積'!$G$33),"")))</f>
        <v/>
      </c>
      <c r="AJ74" s="79"/>
      <c r="AK74" s="131"/>
      <c r="AL74" s="103" t="str">
        <f>IF('資料1.参加者及び面積'!$A$13="面積・単価で按分",INT('資料2.内訳'!$B$52*'資料1.参加者及び面積'!H23/'資料1.参加者及び面積'!$H$33),IF(AND((COUNTA('資料1.参加者及び面積'!$F$3:$F$32)-Y74)&gt;=0,'資料1.参加者及び面積'!$A$13="均等割りで按分"),INT('資料2.内訳'!$B$52/COUNTA('資料1.参加者及び面積'!$F$3:$F$32)),IF('資料1.参加者及び面積'!$A$13="面積で按分",INT('資料2.内訳'!$B$52*'資料1.参加者及び面積'!G23/'資料1.参加者及び面積'!$G$33),"")))</f>
        <v/>
      </c>
      <c r="AM74" s="79"/>
      <c r="AN74" s="113"/>
      <c r="AO74" s="69" t="e">
        <f t="shared" si="7"/>
        <v>#VALUE!</v>
      </c>
      <c r="AP74" s="79"/>
      <c r="AQ74" s="131"/>
      <c r="AR74" s="103" t="str">
        <f t="shared" si="8"/>
        <v/>
      </c>
      <c r="AS74" s="79"/>
      <c r="AT74" s="131"/>
      <c r="AV74" s="2">
        <f>IF($AG$16-$AI$84-SUM($AV$54:AV73)&gt;0,1,0)</f>
        <v>0</v>
      </c>
      <c r="AW74" s="2">
        <f>IF($AH$42-$AL$84-SUM($AW$54:AW73)&gt;0,1,0)</f>
        <v>0</v>
      </c>
    </row>
    <row r="75" spans="1:49" s="2" customFormat="1" ht="25.5" customHeight="1">
      <c r="A75" s="2">
        <v>22</v>
      </c>
      <c r="B75" s="31">
        <f t="shared" si="1"/>
        <v>0</v>
      </c>
      <c r="C75" s="52"/>
      <c r="D75" s="52"/>
      <c r="E75" s="52"/>
      <c r="F75" s="60"/>
      <c r="G75" s="67">
        <f t="shared" si="2"/>
        <v>0</v>
      </c>
      <c r="H75" s="77"/>
      <c r="I75" s="77"/>
      <c r="J75" s="111"/>
      <c r="K75" s="67" t="str">
        <f t="shared" si="3"/>
        <v/>
      </c>
      <c r="L75" s="77"/>
      <c r="M75" s="129"/>
      <c r="N75" s="137" t="str">
        <f t="shared" si="4"/>
        <v/>
      </c>
      <c r="O75" s="77"/>
      <c r="P75" s="111"/>
      <c r="Q75" s="67" t="str">
        <f t="shared" si="5"/>
        <v/>
      </c>
      <c r="R75" s="77"/>
      <c r="S75" s="129"/>
      <c r="T75" s="137" t="str">
        <f t="shared" si="6"/>
        <v/>
      </c>
      <c r="U75" s="77"/>
      <c r="V75" s="129"/>
      <c r="Y75" s="2">
        <v>22</v>
      </c>
      <c r="Z75" s="31">
        <f>'資料1.参加者及び面積'!F24</f>
        <v>0</v>
      </c>
      <c r="AA75" s="52"/>
      <c r="AB75" s="52"/>
      <c r="AC75" s="52"/>
      <c r="AD75" s="60"/>
      <c r="AE75" s="67">
        <f>'資料1.参加者及び面積'!H24</f>
        <v>0</v>
      </c>
      <c r="AF75" s="77"/>
      <c r="AG75" s="77"/>
      <c r="AH75" s="111"/>
      <c r="AI75" s="67" t="str">
        <f>IF('資料1.参加者及び面積'!$A$13="面積・単価で按分",INT('資料1.参加者及び面積'!$B$5*'資料1.参加者及び面積'!H24/'資料1.参加者及び面積'!$H$33),IF(AND((COUNTA('資料1.参加者及び面積'!$F$3:$F$32)-Y75)&gt;=0,'資料1.参加者及び面積'!$A$13="均等割りで按分"),INT('資料1.参加者及び面積'!$B$5/COUNTA('資料1.参加者及び面積'!$F$3:$F$32)),IF('資料1.参加者及び面積'!$A$13="面積で按分",INT('資料1.参加者及び面積'!$B$5*'資料1.参加者及び面積'!G24/'資料1.参加者及び面積'!$G$33),"")))</f>
        <v/>
      </c>
      <c r="AJ75" s="77"/>
      <c r="AK75" s="129"/>
      <c r="AL75" s="137" t="str">
        <f>IF('資料1.参加者及び面積'!$A$13="面積・単価で按分",INT('資料2.内訳'!$B$52*'資料1.参加者及び面積'!H24/'資料1.参加者及び面積'!$H$33),IF(AND((COUNTA('資料1.参加者及び面積'!$F$3:$F$32)-Y75)&gt;=0,'資料1.参加者及び面積'!$A$13="均等割りで按分"),INT('資料2.内訳'!$B$52/COUNTA('資料1.参加者及び面積'!$F$3:$F$32)),IF('資料1.参加者及び面積'!$A$13="面積で按分",INT('資料2.内訳'!$B$52*'資料1.参加者及び面積'!G24/'資料1.参加者及び面積'!$G$33),"")))</f>
        <v/>
      </c>
      <c r="AM75" s="77"/>
      <c r="AN75" s="111"/>
      <c r="AO75" s="67" t="e">
        <f t="shared" si="7"/>
        <v>#VALUE!</v>
      </c>
      <c r="AP75" s="77"/>
      <c r="AQ75" s="129"/>
      <c r="AR75" s="137" t="str">
        <f t="shared" si="8"/>
        <v/>
      </c>
      <c r="AS75" s="77"/>
      <c r="AT75" s="129"/>
      <c r="AV75" s="2">
        <f>IF($AG$16-$AI$84-SUM($AV$54:AV74)&gt;0,1,0)</f>
        <v>0</v>
      </c>
      <c r="AW75" s="2">
        <f>IF($AH$42-$AL$84-SUM($AW$54:AW74)&gt;0,1,0)</f>
        <v>0</v>
      </c>
    </row>
    <row r="76" spans="1:49" s="2" customFormat="1" ht="25.5" customHeight="1">
      <c r="A76" s="2">
        <v>23</v>
      </c>
      <c r="B76" s="31">
        <f t="shared" si="1"/>
        <v>0</v>
      </c>
      <c r="C76" s="52"/>
      <c r="D76" s="52"/>
      <c r="E76" s="52"/>
      <c r="F76" s="60"/>
      <c r="G76" s="67">
        <f t="shared" si="2"/>
        <v>0</v>
      </c>
      <c r="H76" s="77"/>
      <c r="I76" s="77"/>
      <c r="J76" s="111"/>
      <c r="K76" s="67" t="str">
        <f t="shared" si="3"/>
        <v/>
      </c>
      <c r="L76" s="77"/>
      <c r="M76" s="129"/>
      <c r="N76" s="137" t="str">
        <f t="shared" si="4"/>
        <v/>
      </c>
      <c r="O76" s="77"/>
      <c r="P76" s="111"/>
      <c r="Q76" s="67" t="str">
        <f t="shared" si="5"/>
        <v/>
      </c>
      <c r="R76" s="77"/>
      <c r="S76" s="129"/>
      <c r="T76" s="137" t="str">
        <f t="shared" si="6"/>
        <v/>
      </c>
      <c r="U76" s="77"/>
      <c r="V76" s="129"/>
      <c r="Y76" s="2">
        <v>23</v>
      </c>
      <c r="Z76" s="31">
        <f>'資料1.参加者及び面積'!F25</f>
        <v>0</v>
      </c>
      <c r="AA76" s="52"/>
      <c r="AB76" s="52"/>
      <c r="AC76" s="52"/>
      <c r="AD76" s="60"/>
      <c r="AE76" s="67">
        <f>'資料1.参加者及び面積'!H25</f>
        <v>0</v>
      </c>
      <c r="AF76" s="77"/>
      <c r="AG76" s="77"/>
      <c r="AH76" s="111"/>
      <c r="AI76" s="67" t="str">
        <f>IF('資料1.参加者及び面積'!$A$13="面積・単価で按分",INT('資料1.参加者及び面積'!$B$5*'資料1.参加者及び面積'!H25/'資料1.参加者及び面積'!$H$33),IF(AND((COUNTA('資料1.参加者及び面積'!$F$3:$F$32)-Y76)&gt;=0,'資料1.参加者及び面積'!$A$13="均等割りで按分"),INT('資料1.参加者及び面積'!$B$5/COUNTA('資料1.参加者及び面積'!$F$3:$F$32)),IF('資料1.参加者及び面積'!$A$13="面積で按分",INT('資料1.参加者及び面積'!$B$5*'資料1.参加者及び面積'!G25/'資料1.参加者及び面積'!$G$33),"")))</f>
        <v/>
      </c>
      <c r="AJ76" s="77"/>
      <c r="AK76" s="129"/>
      <c r="AL76" s="137" t="str">
        <f>IF('資料1.参加者及び面積'!$A$13="面積・単価で按分",INT('資料2.内訳'!$B$52*'資料1.参加者及び面積'!H25/'資料1.参加者及び面積'!$H$33),IF(AND((COUNTA('資料1.参加者及び面積'!$F$3:$F$32)-Y76)&gt;=0,'資料1.参加者及び面積'!$A$13="均等割りで按分"),INT('資料2.内訳'!$B$52/COUNTA('資料1.参加者及び面積'!$F$3:$F$32)),IF('資料1.参加者及び面積'!$A$13="面積で按分",INT('資料2.内訳'!$B$52*'資料1.参加者及び面積'!G25/'資料1.参加者及び面積'!$G$33),"")))</f>
        <v/>
      </c>
      <c r="AM76" s="77"/>
      <c r="AN76" s="111"/>
      <c r="AO76" s="67" t="e">
        <f t="shared" si="7"/>
        <v>#VALUE!</v>
      </c>
      <c r="AP76" s="77"/>
      <c r="AQ76" s="129"/>
      <c r="AR76" s="137" t="str">
        <f t="shared" si="8"/>
        <v/>
      </c>
      <c r="AS76" s="77"/>
      <c r="AT76" s="129"/>
      <c r="AV76" s="2">
        <f>IF($AG$16-$AI$84-SUM($AV$54:AV75)&gt;0,1,0)</f>
        <v>0</v>
      </c>
      <c r="AW76" s="2">
        <f>IF($AH$42-$AL$84-SUM($AW$54:AW75)&gt;0,1,0)</f>
        <v>0</v>
      </c>
    </row>
    <row r="77" spans="1:49" s="2" customFormat="1" ht="25.5" customHeight="1">
      <c r="A77" s="2">
        <v>24</v>
      </c>
      <c r="B77" s="31">
        <f t="shared" si="1"/>
        <v>0</v>
      </c>
      <c r="C77" s="52"/>
      <c r="D77" s="52"/>
      <c r="E77" s="52"/>
      <c r="F77" s="60"/>
      <c r="G77" s="67">
        <f t="shared" si="2"/>
        <v>0</v>
      </c>
      <c r="H77" s="77"/>
      <c r="I77" s="77"/>
      <c r="J77" s="111"/>
      <c r="K77" s="67" t="str">
        <f t="shared" si="3"/>
        <v/>
      </c>
      <c r="L77" s="77"/>
      <c r="M77" s="129"/>
      <c r="N77" s="137" t="str">
        <f t="shared" si="4"/>
        <v/>
      </c>
      <c r="O77" s="77"/>
      <c r="P77" s="111"/>
      <c r="Q77" s="67" t="str">
        <f t="shared" si="5"/>
        <v/>
      </c>
      <c r="R77" s="77"/>
      <c r="S77" s="129"/>
      <c r="T77" s="137" t="str">
        <f t="shared" si="6"/>
        <v/>
      </c>
      <c r="U77" s="77"/>
      <c r="V77" s="129"/>
      <c r="Y77" s="2">
        <v>24</v>
      </c>
      <c r="Z77" s="31">
        <f>'資料1.参加者及び面積'!F26</f>
        <v>0</v>
      </c>
      <c r="AA77" s="52"/>
      <c r="AB77" s="52"/>
      <c r="AC77" s="52"/>
      <c r="AD77" s="60"/>
      <c r="AE77" s="67">
        <f>'資料1.参加者及び面積'!H26</f>
        <v>0</v>
      </c>
      <c r="AF77" s="77"/>
      <c r="AG77" s="77"/>
      <c r="AH77" s="111"/>
      <c r="AI77" s="67" t="str">
        <f>IF('資料1.参加者及び面積'!$A$13="面積・単価で按分",INT('資料1.参加者及び面積'!$B$5*'資料1.参加者及び面積'!H26/'資料1.参加者及び面積'!$H$33),IF(AND((COUNTA('資料1.参加者及び面積'!$F$3:$F$32)-Y77)&gt;=0,'資料1.参加者及び面積'!$A$13="均等割りで按分"),INT('資料1.参加者及び面積'!$B$5/COUNTA('資料1.参加者及び面積'!$F$3:$F$32)),IF('資料1.参加者及び面積'!$A$13="面積で按分",INT('資料1.参加者及び面積'!$B$5*'資料1.参加者及び面積'!G26/'資料1.参加者及び面積'!$G$33),"")))</f>
        <v/>
      </c>
      <c r="AJ77" s="77"/>
      <c r="AK77" s="129"/>
      <c r="AL77" s="137" t="str">
        <f>IF('資料1.参加者及び面積'!$A$13="面積・単価で按分",INT('資料2.内訳'!$B$52*'資料1.参加者及び面積'!H26/'資料1.参加者及び面積'!$H$33),IF(AND((COUNTA('資料1.参加者及び面積'!$F$3:$F$32)-Y77)&gt;=0,'資料1.参加者及び面積'!$A$13="均等割りで按分"),INT('資料2.内訳'!$B$52/COUNTA('資料1.参加者及び面積'!$F$3:$F$32)),IF('資料1.参加者及び面積'!$A$13="面積で按分",INT('資料2.内訳'!$B$52*'資料1.参加者及び面積'!G26/'資料1.参加者及び面積'!$G$33),"")))</f>
        <v/>
      </c>
      <c r="AM77" s="77"/>
      <c r="AN77" s="111"/>
      <c r="AO77" s="67" t="e">
        <f t="shared" si="7"/>
        <v>#VALUE!</v>
      </c>
      <c r="AP77" s="77"/>
      <c r="AQ77" s="129"/>
      <c r="AR77" s="137" t="str">
        <f t="shared" si="8"/>
        <v/>
      </c>
      <c r="AS77" s="77"/>
      <c r="AT77" s="129"/>
      <c r="AV77" s="2">
        <f>IF($AG$16-$AI$84-SUM($AV$54:AV76)&gt;0,1,0)</f>
        <v>0</v>
      </c>
      <c r="AW77" s="2">
        <f>IF($AH$42-$AL$84-SUM($AW$54:AW76)&gt;0,1,0)</f>
        <v>0</v>
      </c>
    </row>
    <row r="78" spans="1:49" s="2" customFormat="1" ht="25.5" customHeight="1">
      <c r="A78" s="2">
        <v>25</v>
      </c>
      <c r="B78" s="33">
        <f t="shared" si="1"/>
        <v>0</v>
      </c>
      <c r="C78" s="54"/>
      <c r="D78" s="54"/>
      <c r="E78" s="54"/>
      <c r="F78" s="62"/>
      <c r="G78" s="68">
        <f t="shared" si="2"/>
        <v>0</v>
      </c>
      <c r="H78" s="78"/>
      <c r="I78" s="78"/>
      <c r="J78" s="112"/>
      <c r="K78" s="68" t="str">
        <f t="shared" si="3"/>
        <v/>
      </c>
      <c r="L78" s="78"/>
      <c r="M78" s="130"/>
      <c r="N78" s="138" t="str">
        <f t="shared" si="4"/>
        <v/>
      </c>
      <c r="O78" s="78"/>
      <c r="P78" s="112"/>
      <c r="Q78" s="68" t="str">
        <f t="shared" si="5"/>
        <v/>
      </c>
      <c r="R78" s="78"/>
      <c r="S78" s="130"/>
      <c r="T78" s="138" t="str">
        <f t="shared" si="6"/>
        <v/>
      </c>
      <c r="U78" s="78"/>
      <c r="V78" s="130"/>
      <c r="Y78" s="2">
        <v>25</v>
      </c>
      <c r="Z78" s="33">
        <f>'資料1.参加者及び面積'!F27</f>
        <v>0</v>
      </c>
      <c r="AA78" s="54"/>
      <c r="AB78" s="54"/>
      <c r="AC78" s="54"/>
      <c r="AD78" s="62"/>
      <c r="AE78" s="68">
        <f>'資料1.参加者及び面積'!H27</f>
        <v>0</v>
      </c>
      <c r="AF78" s="78"/>
      <c r="AG78" s="78"/>
      <c r="AH78" s="112"/>
      <c r="AI78" s="68" t="str">
        <f>IF('資料1.参加者及び面積'!$A$13="面積・単価で按分",INT('資料1.参加者及び面積'!$B$5*'資料1.参加者及び面積'!H27/'資料1.参加者及び面積'!$H$33),IF(AND((COUNTA('資料1.参加者及び面積'!$F$3:$F$32)-Y78)&gt;=0,'資料1.参加者及び面積'!$A$13="均等割りで按分"),INT('資料1.参加者及び面積'!$B$5/COUNTA('資料1.参加者及び面積'!$F$3:$F$32)),IF('資料1.参加者及び面積'!$A$13="面積で按分",INT('資料1.参加者及び面積'!$B$5*'資料1.参加者及び面積'!G27/'資料1.参加者及び面積'!$G$33),"")))</f>
        <v/>
      </c>
      <c r="AJ78" s="78"/>
      <c r="AK78" s="130"/>
      <c r="AL78" s="138" t="str">
        <f>IF('資料1.参加者及び面積'!$A$13="面積・単価で按分",INT('資料2.内訳'!$B$52*'資料1.参加者及び面積'!H27/'資料1.参加者及び面積'!$H$33),IF(AND((COUNTA('資料1.参加者及び面積'!$F$3:$F$32)-Y78)&gt;=0,'資料1.参加者及び面積'!$A$13="均等割りで按分"),INT('資料2.内訳'!$B$52/COUNTA('資料1.参加者及び面積'!$F$3:$F$32)),IF('資料1.参加者及び面積'!$A$13="面積で按分",INT('資料2.内訳'!$B$52*'資料1.参加者及び面積'!G27/'資料1.参加者及び面積'!$G$33),"")))</f>
        <v/>
      </c>
      <c r="AM78" s="78"/>
      <c r="AN78" s="112"/>
      <c r="AO78" s="68" t="e">
        <f t="shared" si="7"/>
        <v>#VALUE!</v>
      </c>
      <c r="AP78" s="78"/>
      <c r="AQ78" s="130"/>
      <c r="AR78" s="138" t="str">
        <f t="shared" si="8"/>
        <v/>
      </c>
      <c r="AS78" s="78"/>
      <c r="AT78" s="130"/>
      <c r="AV78" s="2">
        <f>IF($AG$16-$AI$84-SUM($AV$54:AV77)&gt;0,1,0)</f>
        <v>0</v>
      </c>
      <c r="AW78" s="2">
        <f>IF($AH$42-$AL$84-SUM($AW$54:AW77)&gt;0,1,0)</f>
        <v>0</v>
      </c>
    </row>
    <row r="79" spans="1:49" s="2" customFormat="1" ht="25.5" customHeight="1">
      <c r="A79" s="2">
        <v>26</v>
      </c>
      <c r="B79" s="30">
        <f t="shared" si="1"/>
        <v>0</v>
      </c>
      <c r="C79" s="51"/>
      <c r="D79" s="51"/>
      <c r="E79" s="51"/>
      <c r="F79" s="59"/>
      <c r="G79" s="69">
        <f t="shared" si="2"/>
        <v>0</v>
      </c>
      <c r="H79" s="79"/>
      <c r="I79" s="79"/>
      <c r="J79" s="113"/>
      <c r="K79" s="69" t="str">
        <f t="shared" si="3"/>
        <v/>
      </c>
      <c r="L79" s="79"/>
      <c r="M79" s="131"/>
      <c r="N79" s="103" t="str">
        <f t="shared" si="4"/>
        <v/>
      </c>
      <c r="O79" s="79"/>
      <c r="P79" s="113"/>
      <c r="Q79" s="69" t="str">
        <f t="shared" si="5"/>
        <v/>
      </c>
      <c r="R79" s="79"/>
      <c r="S79" s="131"/>
      <c r="T79" s="103" t="str">
        <f t="shared" si="6"/>
        <v/>
      </c>
      <c r="U79" s="79"/>
      <c r="V79" s="131"/>
      <c r="Y79" s="2">
        <v>26</v>
      </c>
      <c r="Z79" s="30">
        <f>'資料1.参加者及び面積'!F28</f>
        <v>0</v>
      </c>
      <c r="AA79" s="51"/>
      <c r="AB79" s="51"/>
      <c r="AC79" s="51"/>
      <c r="AD79" s="59"/>
      <c r="AE79" s="69">
        <f>'資料1.参加者及び面積'!H28</f>
        <v>0</v>
      </c>
      <c r="AF79" s="79"/>
      <c r="AG79" s="79"/>
      <c r="AH79" s="113"/>
      <c r="AI79" s="69" t="str">
        <f>IF('資料1.参加者及び面積'!$A$13="面積・単価で按分",INT('資料1.参加者及び面積'!$B$5*'資料1.参加者及び面積'!H28/'資料1.参加者及び面積'!$H$33),IF(AND((COUNTA('資料1.参加者及び面積'!$F$3:$F$32)-Y79)&gt;=0,'資料1.参加者及び面積'!$A$13="均等割りで按分"),INT('資料1.参加者及び面積'!$B$5/COUNTA('資料1.参加者及び面積'!$F$3:$F$32)),IF('資料1.参加者及び面積'!$A$13="面積で按分",INT('資料1.参加者及び面積'!$B$5*'資料1.参加者及び面積'!G28/'資料1.参加者及び面積'!$G$33),"")))</f>
        <v/>
      </c>
      <c r="AJ79" s="79"/>
      <c r="AK79" s="131"/>
      <c r="AL79" s="103" t="str">
        <f>IF('資料1.参加者及び面積'!$A$13="面積・単価で按分",INT('資料2.内訳'!$B$52*'資料1.参加者及び面積'!H28/'資料1.参加者及び面積'!$H$33),IF(AND((COUNTA('資料1.参加者及び面積'!$F$3:$F$32)-Y79)&gt;=0,'資料1.参加者及び面積'!$A$13="均等割りで按分"),INT('資料2.内訳'!$B$52/COUNTA('資料1.参加者及び面積'!$F$3:$F$32)),IF('資料1.参加者及び面積'!$A$13="面積で按分",INT('資料2.内訳'!$B$52*'資料1.参加者及び面積'!G28/'資料1.参加者及び面積'!$G$33),"")))</f>
        <v/>
      </c>
      <c r="AM79" s="79"/>
      <c r="AN79" s="113"/>
      <c r="AO79" s="69" t="e">
        <f t="shared" si="7"/>
        <v>#VALUE!</v>
      </c>
      <c r="AP79" s="79"/>
      <c r="AQ79" s="131"/>
      <c r="AR79" s="103" t="str">
        <f t="shared" si="8"/>
        <v/>
      </c>
      <c r="AS79" s="79"/>
      <c r="AT79" s="131"/>
      <c r="AV79" s="2">
        <f>IF($AG$16-$AI$84-SUM($AV$54:AV78)&gt;0,1,0)</f>
        <v>0</v>
      </c>
      <c r="AW79" s="2">
        <f>IF($AH$42-$AL$84-SUM($AW$54:AW78)&gt;0,1,0)</f>
        <v>0</v>
      </c>
    </row>
    <row r="80" spans="1:49" s="2" customFormat="1" ht="25.5" customHeight="1">
      <c r="A80" s="2">
        <v>27</v>
      </c>
      <c r="B80" s="31">
        <f t="shared" si="1"/>
        <v>0</v>
      </c>
      <c r="C80" s="52"/>
      <c r="D80" s="52"/>
      <c r="E80" s="52"/>
      <c r="F80" s="60"/>
      <c r="G80" s="67">
        <f t="shared" si="2"/>
        <v>0</v>
      </c>
      <c r="H80" s="77"/>
      <c r="I80" s="77"/>
      <c r="J80" s="111"/>
      <c r="K80" s="67" t="str">
        <f t="shared" si="3"/>
        <v/>
      </c>
      <c r="L80" s="77"/>
      <c r="M80" s="129"/>
      <c r="N80" s="137" t="str">
        <f t="shared" si="4"/>
        <v/>
      </c>
      <c r="O80" s="77"/>
      <c r="P80" s="111"/>
      <c r="Q80" s="67" t="str">
        <f t="shared" si="5"/>
        <v/>
      </c>
      <c r="R80" s="77"/>
      <c r="S80" s="129"/>
      <c r="T80" s="137" t="str">
        <f t="shared" si="6"/>
        <v/>
      </c>
      <c r="U80" s="77"/>
      <c r="V80" s="129"/>
      <c r="Y80" s="2">
        <v>27</v>
      </c>
      <c r="Z80" s="31">
        <f>'資料1.参加者及び面積'!F29</f>
        <v>0</v>
      </c>
      <c r="AA80" s="52"/>
      <c r="AB80" s="52"/>
      <c r="AC80" s="52"/>
      <c r="AD80" s="60"/>
      <c r="AE80" s="67">
        <f>'資料1.参加者及び面積'!H29</f>
        <v>0</v>
      </c>
      <c r="AF80" s="77"/>
      <c r="AG80" s="77"/>
      <c r="AH80" s="111"/>
      <c r="AI80" s="67" t="str">
        <f>IF('資料1.参加者及び面積'!$A$13="面積・単価で按分",INT('資料1.参加者及び面積'!$B$5*'資料1.参加者及び面積'!H29/'資料1.参加者及び面積'!$H$33),IF(AND((COUNTA('資料1.参加者及び面積'!$F$3:$F$32)-Y80)&gt;=0,'資料1.参加者及び面積'!$A$13="均等割りで按分"),INT('資料1.参加者及び面積'!$B$5/COUNTA('資料1.参加者及び面積'!$F$3:$F$32)),IF('資料1.参加者及び面積'!$A$13="面積で按分",INT('資料1.参加者及び面積'!$B$5*'資料1.参加者及び面積'!G29/'資料1.参加者及び面積'!$G$33),"")))</f>
        <v/>
      </c>
      <c r="AJ80" s="77"/>
      <c r="AK80" s="129"/>
      <c r="AL80" s="137" t="str">
        <f>IF('資料1.参加者及び面積'!$A$13="面積・単価で按分",INT('資料2.内訳'!$B$52*'資料1.参加者及び面積'!H29/'資料1.参加者及び面積'!$H$33),IF(AND((COUNTA('資料1.参加者及び面積'!$F$3:$F$32)-Y80)&gt;=0,'資料1.参加者及び面積'!$A$13="均等割りで按分"),INT('資料2.内訳'!$B$52/COUNTA('資料1.参加者及び面積'!$F$3:$F$32)),IF('資料1.参加者及び面積'!$A$13="面積で按分",INT('資料2.内訳'!$B$52*'資料1.参加者及び面積'!G29/'資料1.参加者及び面積'!$G$33),"")))</f>
        <v/>
      </c>
      <c r="AM80" s="77"/>
      <c r="AN80" s="111"/>
      <c r="AO80" s="67" t="e">
        <f t="shared" si="7"/>
        <v>#VALUE!</v>
      </c>
      <c r="AP80" s="77"/>
      <c r="AQ80" s="129"/>
      <c r="AR80" s="137" t="str">
        <f t="shared" si="8"/>
        <v/>
      </c>
      <c r="AS80" s="77"/>
      <c r="AT80" s="129"/>
      <c r="AV80" s="2">
        <f>IF($AG$16-$AI$84-SUM($AV$54:AV79)&gt;0,1,0)</f>
        <v>0</v>
      </c>
      <c r="AW80" s="2">
        <f>IF($AH$42-$AL$84-SUM($AW$54:AW79)&gt;0,1,0)</f>
        <v>0</v>
      </c>
    </row>
    <row r="81" spans="1:49" s="2" customFormat="1" ht="25.5" customHeight="1">
      <c r="A81" s="2">
        <v>28</v>
      </c>
      <c r="B81" s="31">
        <f t="shared" si="1"/>
        <v>0</v>
      </c>
      <c r="C81" s="52"/>
      <c r="D81" s="52"/>
      <c r="E81" s="52"/>
      <c r="F81" s="60"/>
      <c r="G81" s="67">
        <f t="shared" si="2"/>
        <v>0</v>
      </c>
      <c r="H81" s="77"/>
      <c r="I81" s="77"/>
      <c r="J81" s="111"/>
      <c r="K81" s="67" t="str">
        <f t="shared" si="3"/>
        <v/>
      </c>
      <c r="L81" s="77"/>
      <c r="M81" s="129"/>
      <c r="N81" s="137" t="str">
        <f t="shared" si="4"/>
        <v/>
      </c>
      <c r="O81" s="77"/>
      <c r="P81" s="111"/>
      <c r="Q81" s="67" t="str">
        <f t="shared" si="5"/>
        <v/>
      </c>
      <c r="R81" s="77"/>
      <c r="S81" s="129"/>
      <c r="T81" s="137" t="str">
        <f t="shared" si="6"/>
        <v/>
      </c>
      <c r="U81" s="77"/>
      <c r="V81" s="129"/>
      <c r="Y81" s="2">
        <v>28</v>
      </c>
      <c r="Z81" s="31">
        <f>'資料1.参加者及び面積'!F30</f>
        <v>0</v>
      </c>
      <c r="AA81" s="52"/>
      <c r="AB81" s="52"/>
      <c r="AC81" s="52"/>
      <c r="AD81" s="60"/>
      <c r="AE81" s="67">
        <f>'資料1.参加者及び面積'!H30</f>
        <v>0</v>
      </c>
      <c r="AF81" s="77"/>
      <c r="AG81" s="77"/>
      <c r="AH81" s="111"/>
      <c r="AI81" s="67" t="str">
        <f>IF('資料1.参加者及び面積'!$A$13="面積・単価で按分",INT('資料1.参加者及び面積'!$B$5*'資料1.参加者及び面積'!H30/'資料1.参加者及び面積'!$H$33),IF(AND((COUNTA('資料1.参加者及び面積'!$F$3:$F$32)-Y81)&gt;=0,'資料1.参加者及び面積'!$A$13="均等割りで按分"),INT('資料1.参加者及び面積'!$B$5/COUNTA('資料1.参加者及び面積'!$F$3:$F$32)),IF('資料1.参加者及び面積'!$A$13="面積で按分",INT('資料1.参加者及び面積'!$B$5*'資料1.参加者及び面積'!G30/'資料1.参加者及び面積'!$G$33),"")))</f>
        <v/>
      </c>
      <c r="AJ81" s="77"/>
      <c r="AK81" s="129"/>
      <c r="AL81" s="137" t="str">
        <f>IF('資料1.参加者及び面積'!$A$13="面積・単価で按分",INT('資料2.内訳'!$B$52*'資料1.参加者及び面積'!H30/'資料1.参加者及び面積'!$H$33),IF(AND((COUNTA('資料1.参加者及び面積'!$F$3:$F$32)-Y81)&gt;=0,'資料1.参加者及び面積'!$A$13="均等割りで按分"),INT('資料2.内訳'!$B$52/COUNTA('資料1.参加者及び面積'!$F$3:$F$32)),IF('資料1.参加者及び面積'!$A$13="面積で按分",INT('資料2.内訳'!$B$52*'資料1.参加者及び面積'!G30/'資料1.参加者及び面積'!$G$33),"")))</f>
        <v/>
      </c>
      <c r="AM81" s="77"/>
      <c r="AN81" s="111"/>
      <c r="AO81" s="67" t="e">
        <f t="shared" si="7"/>
        <v>#VALUE!</v>
      </c>
      <c r="AP81" s="77"/>
      <c r="AQ81" s="129"/>
      <c r="AR81" s="137" t="str">
        <f t="shared" si="8"/>
        <v/>
      </c>
      <c r="AS81" s="77"/>
      <c r="AT81" s="129"/>
      <c r="AV81" s="2">
        <f>IF($AG$16-$AI$84-SUM($AV$54:AV80)&gt;0,1,0)</f>
        <v>0</v>
      </c>
      <c r="AW81" s="2">
        <f>IF($AH$42-$AL$84-SUM($AW$54:AW80)&gt;0,1,0)</f>
        <v>0</v>
      </c>
    </row>
    <row r="82" spans="1:49" s="2" customFormat="1" ht="25.5" customHeight="1">
      <c r="A82" s="2">
        <v>29</v>
      </c>
      <c r="B82" s="31">
        <f t="shared" si="1"/>
        <v>0</v>
      </c>
      <c r="C82" s="52"/>
      <c r="D82" s="52"/>
      <c r="E82" s="52"/>
      <c r="F82" s="60"/>
      <c r="G82" s="67">
        <f t="shared" si="2"/>
        <v>0</v>
      </c>
      <c r="H82" s="77"/>
      <c r="I82" s="77"/>
      <c r="J82" s="111"/>
      <c r="K82" s="67" t="str">
        <f t="shared" si="3"/>
        <v/>
      </c>
      <c r="L82" s="77"/>
      <c r="M82" s="129"/>
      <c r="N82" s="137" t="str">
        <f t="shared" si="4"/>
        <v/>
      </c>
      <c r="O82" s="77"/>
      <c r="P82" s="111"/>
      <c r="Q82" s="67" t="str">
        <f t="shared" si="5"/>
        <v/>
      </c>
      <c r="R82" s="77"/>
      <c r="S82" s="129"/>
      <c r="T82" s="137" t="str">
        <f t="shared" si="6"/>
        <v/>
      </c>
      <c r="U82" s="77"/>
      <c r="V82" s="129"/>
      <c r="Y82" s="2">
        <v>29</v>
      </c>
      <c r="Z82" s="31">
        <f>'資料1.参加者及び面積'!F31</f>
        <v>0</v>
      </c>
      <c r="AA82" s="52"/>
      <c r="AB82" s="52"/>
      <c r="AC82" s="52"/>
      <c r="AD82" s="60"/>
      <c r="AE82" s="67">
        <f>'資料1.参加者及び面積'!H31</f>
        <v>0</v>
      </c>
      <c r="AF82" s="77"/>
      <c r="AG82" s="77"/>
      <c r="AH82" s="111"/>
      <c r="AI82" s="67" t="str">
        <f>IF('資料1.参加者及び面積'!$A$13="面積・単価で按分",INT('資料1.参加者及び面積'!$B$5*'資料1.参加者及び面積'!H31/'資料1.参加者及び面積'!$H$33),IF(AND((COUNTA('資料1.参加者及び面積'!$F$3:$F$32)-Y82)&gt;=0,'資料1.参加者及び面積'!$A$13="均等割りで按分"),INT('資料1.参加者及び面積'!$B$5/COUNTA('資料1.参加者及び面積'!$F$3:$F$32)),IF('資料1.参加者及び面積'!$A$13="面積で按分",INT('資料1.参加者及び面積'!$B$5*'資料1.参加者及び面積'!G31/'資料1.参加者及び面積'!$G$33),"")))</f>
        <v/>
      </c>
      <c r="AJ82" s="77"/>
      <c r="AK82" s="129"/>
      <c r="AL82" s="137" t="str">
        <f>IF('資料1.参加者及び面積'!$A$13="面積・単価で按分",INT('資料2.内訳'!$B$52*'資料1.参加者及び面積'!H31/'資料1.参加者及び面積'!$H$33),IF(AND((COUNTA('資料1.参加者及び面積'!$F$3:$F$32)-Y82)&gt;=0,'資料1.参加者及び面積'!$A$13="均等割りで按分"),INT('資料2.内訳'!$B$52/COUNTA('資料1.参加者及び面積'!$F$3:$F$32)),IF('資料1.参加者及び面積'!$A$13="面積で按分",INT('資料2.内訳'!$B$52*'資料1.参加者及び面積'!G31/'資料1.参加者及び面積'!$G$33),"")))</f>
        <v/>
      </c>
      <c r="AM82" s="77"/>
      <c r="AN82" s="111"/>
      <c r="AO82" s="67" t="e">
        <f t="shared" si="7"/>
        <v>#VALUE!</v>
      </c>
      <c r="AP82" s="77"/>
      <c r="AQ82" s="129"/>
      <c r="AR82" s="137" t="str">
        <f t="shared" si="8"/>
        <v/>
      </c>
      <c r="AS82" s="77"/>
      <c r="AT82" s="129"/>
      <c r="AV82" s="2">
        <f>IF($AG$16-$AI$84-SUM($AV$54:AV81)&gt;0,1,0)</f>
        <v>0</v>
      </c>
      <c r="AW82" s="2">
        <f>IF($AH$42-$AL$84-SUM($AW$54:AW81)&gt;0,1,0)</f>
        <v>0</v>
      </c>
    </row>
    <row r="83" spans="1:49" s="2" customFormat="1" ht="25.5" customHeight="1">
      <c r="A83" s="2">
        <v>30</v>
      </c>
      <c r="B83" s="32">
        <f t="shared" si="1"/>
        <v>0</v>
      </c>
      <c r="C83" s="53"/>
      <c r="D83" s="53"/>
      <c r="E83" s="53"/>
      <c r="F83" s="61"/>
      <c r="G83" s="70">
        <f t="shared" si="2"/>
        <v>0</v>
      </c>
      <c r="H83" s="80"/>
      <c r="I83" s="80"/>
      <c r="J83" s="114"/>
      <c r="K83" s="70" t="str">
        <f t="shared" si="3"/>
        <v/>
      </c>
      <c r="L83" s="80"/>
      <c r="M83" s="132"/>
      <c r="N83" s="139" t="str">
        <f t="shared" si="4"/>
        <v/>
      </c>
      <c r="O83" s="80"/>
      <c r="P83" s="114"/>
      <c r="Q83" s="70" t="str">
        <f t="shared" si="5"/>
        <v/>
      </c>
      <c r="R83" s="80"/>
      <c r="S83" s="132"/>
      <c r="T83" s="139" t="str">
        <f t="shared" si="6"/>
        <v/>
      </c>
      <c r="U83" s="80"/>
      <c r="V83" s="132"/>
      <c r="Y83" s="2">
        <v>30</v>
      </c>
      <c r="Z83" s="32">
        <f>'資料1.参加者及び面積'!F32</f>
        <v>0</v>
      </c>
      <c r="AA83" s="53"/>
      <c r="AB83" s="53"/>
      <c r="AC83" s="53"/>
      <c r="AD83" s="61"/>
      <c r="AE83" s="70">
        <f>'資料1.参加者及び面積'!H32</f>
        <v>0</v>
      </c>
      <c r="AF83" s="80"/>
      <c r="AG83" s="80"/>
      <c r="AH83" s="114"/>
      <c r="AI83" s="70" t="str">
        <f>IF('資料1.参加者及び面積'!$A$13="面積・単価で按分",INT('資料1.参加者及び面積'!$B$5*'資料1.参加者及び面積'!H32/'資料1.参加者及び面積'!$H$33),IF(AND((COUNTA('資料1.参加者及び面積'!$F$3:$F$32)-Y83)&gt;=0,'資料1.参加者及び面積'!$A$13="均等割りで按分"),INT('資料1.参加者及び面積'!$B$5/COUNTA('資料1.参加者及び面積'!$F$3:$F$32)),IF('資料1.参加者及び面積'!$A$13="面積で按分",INT('資料1.参加者及び面積'!$B$5*'資料1.参加者及び面積'!G32/'資料1.参加者及び面積'!$G$33),"")))</f>
        <v/>
      </c>
      <c r="AJ83" s="80"/>
      <c r="AK83" s="132"/>
      <c r="AL83" s="139" t="str">
        <f>IF('資料1.参加者及び面積'!$A$13="面積・単価で按分",INT('資料2.内訳'!$B$52*'資料1.参加者及び面積'!H32/'資料1.参加者及び面積'!$H$33),IF(AND((COUNTA('資料1.参加者及び面積'!$F$3:$F$32)-Y83)&gt;=0,'資料1.参加者及び面積'!$A$13="均等割りで按分"),INT('資料2.内訳'!$B$52/COUNTA('資料1.参加者及び面積'!$F$3:$F$32)),IF('資料1.参加者及び面積'!$A$13="面積で按分",INT('資料2.内訳'!$B$52*'資料1.参加者及び面積'!G32/'資料1.参加者及び面積'!$G$33),"")))</f>
        <v/>
      </c>
      <c r="AM83" s="80"/>
      <c r="AN83" s="114"/>
      <c r="AO83" s="70" t="e">
        <f t="shared" si="7"/>
        <v>#VALUE!</v>
      </c>
      <c r="AP83" s="80"/>
      <c r="AQ83" s="132"/>
      <c r="AR83" s="139" t="str">
        <f t="shared" si="8"/>
        <v/>
      </c>
      <c r="AS83" s="80"/>
      <c r="AT83" s="132"/>
      <c r="AV83" s="2">
        <f>IF($AG$16-$AI$84-SUM($AV$54:AV82)&gt;0,1,0)</f>
        <v>0</v>
      </c>
      <c r="AW83" s="2">
        <f>IF($AH$42-$AL$84-SUM($AW$54:AW82)&gt;0,1,0)</f>
        <v>0</v>
      </c>
    </row>
    <row r="84" spans="1:49" s="2" customFormat="1" ht="25.5" customHeight="1">
      <c r="B84" s="13" t="s">
        <v>89</v>
      </c>
      <c r="C84" s="36"/>
      <c r="D84" s="36"/>
      <c r="E84" s="36"/>
      <c r="F84" s="36"/>
      <c r="G84" s="71">
        <f>SUM(G54:J83)</f>
        <v>882000</v>
      </c>
      <c r="H84" s="81"/>
      <c r="I84" s="81"/>
      <c r="J84" s="115"/>
      <c r="K84" s="71">
        <f>SUM(K54:M83)</f>
        <v>3528000</v>
      </c>
      <c r="L84" s="81"/>
      <c r="M84" s="133"/>
      <c r="N84" s="81">
        <f>SUM(N54:P83)</f>
        <v>8000000</v>
      </c>
      <c r="O84" s="81"/>
      <c r="P84" s="81"/>
      <c r="Q84" s="71">
        <f>SUM(Q54:S83)</f>
        <v>4410000</v>
      </c>
      <c r="R84" s="81"/>
      <c r="S84" s="133"/>
      <c r="T84" s="81">
        <f>SUM(T54:V83)</f>
        <v>8000000</v>
      </c>
      <c r="U84" s="81"/>
      <c r="V84" s="133"/>
      <c r="Z84" s="13" t="s">
        <v>108</v>
      </c>
      <c r="AA84" s="36"/>
      <c r="AB84" s="36"/>
      <c r="AC84" s="36"/>
      <c r="AD84" s="36"/>
      <c r="AE84" s="71">
        <f>SUM(AE54:AH83)</f>
        <v>882000</v>
      </c>
      <c r="AF84" s="81"/>
      <c r="AG84" s="81"/>
      <c r="AH84" s="115"/>
      <c r="AI84" s="71">
        <f>SUM(AI54:AK83)</f>
        <v>3528000</v>
      </c>
      <c r="AJ84" s="81"/>
      <c r="AK84" s="133"/>
      <c r="AL84" s="81">
        <f>SUM(AL54:AN83)</f>
        <v>7999992</v>
      </c>
      <c r="AM84" s="81"/>
      <c r="AN84" s="81"/>
      <c r="AO84" s="71" t="e">
        <f>SUM(AO54:AQ83)</f>
        <v>#VALUE!</v>
      </c>
      <c r="AP84" s="81"/>
      <c r="AQ84" s="133"/>
      <c r="AR84" s="81">
        <f>SUM(AR54:AT83)</f>
        <v>7999992</v>
      </c>
      <c r="AS84" s="81"/>
      <c r="AT84" s="133"/>
    </row>
    <row r="85" spans="1:49" s="2" customFormat="1" ht="23.25" customHeight="1"/>
    <row r="86" spans="1:49" s="2" customFormat="1" ht="54.75" customHeight="1">
      <c r="A86" s="6" t="s">
        <v>157</v>
      </c>
      <c r="B86" s="6"/>
      <c r="C86" s="6"/>
      <c r="D86" s="6"/>
      <c r="E86" s="6"/>
      <c r="F86" s="6"/>
      <c r="G86" s="6"/>
      <c r="H86" s="6"/>
      <c r="I86" s="6"/>
      <c r="J86" s="6"/>
      <c r="K86" s="6"/>
      <c r="L86" s="6"/>
      <c r="M86" s="6"/>
      <c r="N86" s="6"/>
      <c r="O86" s="6"/>
      <c r="P86" s="6"/>
      <c r="Q86" s="6"/>
      <c r="R86" s="6"/>
      <c r="S86" s="6"/>
      <c r="T86" s="6"/>
      <c r="U86" s="6"/>
      <c r="V86" s="6"/>
      <c r="W86" s="195"/>
    </row>
    <row r="87" spans="1:49" s="2" customFormat="1" ht="33" customHeight="1">
      <c r="A87" s="7" t="s">
        <v>87</v>
      </c>
      <c r="B87" s="7"/>
      <c r="C87" s="7"/>
      <c r="D87" s="7"/>
      <c r="E87" s="7"/>
      <c r="F87" s="7"/>
      <c r="G87" s="7"/>
      <c r="H87" s="7"/>
      <c r="I87" s="7"/>
      <c r="J87" s="7"/>
      <c r="K87" s="7"/>
      <c r="L87" s="7"/>
      <c r="M87" s="7"/>
      <c r="N87" s="7"/>
      <c r="O87" s="7"/>
      <c r="P87" s="7"/>
      <c r="Q87" s="7"/>
      <c r="R87" s="7"/>
      <c r="S87" s="7"/>
      <c r="T87" s="7"/>
      <c r="U87" s="7"/>
      <c r="V87" s="7"/>
      <c r="W87" s="7"/>
    </row>
    <row r="88" spans="1:49" s="2" customFormat="1" ht="21.75" customHeight="1"/>
    <row r="89" spans="1:49" s="2" customFormat="1" ht="21.75" customHeight="1">
      <c r="C89" s="55" t="s">
        <v>33</v>
      </c>
    </row>
    <row r="90" spans="1:49" s="2" customFormat="1" ht="21.75" customHeight="1">
      <c r="A90" s="8" t="s">
        <v>269</v>
      </c>
      <c r="B90" s="8"/>
      <c r="C90" s="8"/>
      <c r="D90" s="8"/>
      <c r="E90" s="8"/>
      <c r="F90" s="8"/>
      <c r="G90" s="8"/>
      <c r="H90" s="8"/>
      <c r="I90" s="8"/>
      <c r="J90" s="8"/>
      <c r="K90" s="8"/>
      <c r="L90" s="8"/>
      <c r="M90" s="8"/>
      <c r="N90" s="8"/>
      <c r="O90" s="8"/>
      <c r="P90" s="8"/>
      <c r="Q90" s="8"/>
      <c r="R90" s="8"/>
      <c r="S90" s="8"/>
      <c r="T90" s="8"/>
      <c r="V90" s="55" t="s">
        <v>41</v>
      </c>
    </row>
  </sheetData>
  <mergeCells count="527">
    <mergeCell ref="A1:D1"/>
    <mergeCell ref="A2:V2"/>
    <mergeCell ref="M6:P6"/>
    <mergeCell ref="R6:U6"/>
    <mergeCell ref="M7:P7"/>
    <mergeCell ref="R7:U7"/>
    <mergeCell ref="A9:V9"/>
    <mergeCell ref="B15:H15"/>
    <mergeCell ref="I15:O15"/>
    <mergeCell ref="P15:R15"/>
    <mergeCell ref="S15:V15"/>
    <mergeCell ref="Z15:AF15"/>
    <mergeCell ref="AG15:AM15"/>
    <mergeCell ref="AN15:AP15"/>
    <mergeCell ref="AQ15:AT15"/>
    <mergeCell ref="B16:H16"/>
    <mergeCell ref="I16:O16"/>
    <mergeCell ref="P16:R16"/>
    <mergeCell ref="S16:V16"/>
    <mergeCell ref="Z16:AF16"/>
    <mergeCell ref="AG16:AM16"/>
    <mergeCell ref="AN16:AP16"/>
    <mergeCell ref="AQ16:AT16"/>
    <mergeCell ref="B17:H17"/>
    <mergeCell ref="I17:O17"/>
    <mergeCell ref="P17:V17"/>
    <mergeCell ref="Z17:AF17"/>
    <mergeCell ref="AG17:AM17"/>
    <mergeCell ref="AN17:AT17"/>
    <mergeCell ref="P23:V23"/>
    <mergeCell ref="AN23:AT23"/>
    <mergeCell ref="P24:V24"/>
    <mergeCell ref="AN24:AT24"/>
    <mergeCell ref="P25:V25"/>
    <mergeCell ref="AN25:AT25"/>
    <mergeCell ref="P26:V26"/>
    <mergeCell ref="AN26:AT26"/>
    <mergeCell ref="P27:V27"/>
    <mergeCell ref="AN27:AT27"/>
    <mergeCell ref="P28:V28"/>
    <mergeCell ref="AN28:AT28"/>
    <mergeCell ref="P29:V29"/>
    <mergeCell ref="AN29:AT29"/>
    <mergeCell ref="P30:V30"/>
    <mergeCell ref="AN30:AT30"/>
    <mergeCell ref="P31:V31"/>
    <mergeCell ref="AN31:AT31"/>
    <mergeCell ref="P32:V32"/>
    <mergeCell ref="AN32:AT32"/>
    <mergeCell ref="P33:V33"/>
    <mergeCell ref="AN33:AT33"/>
    <mergeCell ref="P34:V34"/>
    <mergeCell ref="AN34:AT34"/>
    <mergeCell ref="P35:V35"/>
    <mergeCell ref="AN35:AT35"/>
    <mergeCell ref="P36:V36"/>
    <mergeCell ref="AN36:AT36"/>
    <mergeCell ref="P37:V37"/>
    <mergeCell ref="AN37:AT37"/>
    <mergeCell ref="P38:V38"/>
    <mergeCell ref="AN38:AT38"/>
    <mergeCell ref="P39:V39"/>
    <mergeCell ref="AN39:AT39"/>
    <mergeCell ref="P40:V40"/>
    <mergeCell ref="AN40:AT40"/>
    <mergeCell ref="J41:O41"/>
    <mergeCell ref="P41:V41"/>
    <mergeCell ref="Z41:AG41"/>
    <mergeCell ref="AH41:AM41"/>
    <mergeCell ref="AN41:AT41"/>
    <mergeCell ref="P42:S42"/>
    <mergeCell ref="T42:V42"/>
    <mergeCell ref="AN42:AT42"/>
    <mergeCell ref="P43:S43"/>
    <mergeCell ref="T43:V43"/>
    <mergeCell ref="AN43:AT43"/>
    <mergeCell ref="P44:S44"/>
    <mergeCell ref="T44:V44"/>
    <mergeCell ref="AN44:AT44"/>
    <mergeCell ref="P45:S45"/>
    <mergeCell ref="T45:V45"/>
    <mergeCell ref="AN45:AT45"/>
    <mergeCell ref="P46:S46"/>
    <mergeCell ref="T46:V46"/>
    <mergeCell ref="AN46:AT46"/>
    <mergeCell ref="P47:S47"/>
    <mergeCell ref="T47:V47"/>
    <mergeCell ref="AN47:AT47"/>
    <mergeCell ref="G51:J51"/>
    <mergeCell ref="K51:P51"/>
    <mergeCell ref="Q51:V51"/>
    <mergeCell ref="AE51:AH51"/>
    <mergeCell ref="AI51:AN51"/>
    <mergeCell ref="AO51:AT51"/>
    <mergeCell ref="B54:F54"/>
    <mergeCell ref="G54:J54"/>
    <mergeCell ref="K54:M54"/>
    <mergeCell ref="N54:P54"/>
    <mergeCell ref="Q54:S54"/>
    <mergeCell ref="T54:V54"/>
    <mergeCell ref="Z54:AD54"/>
    <mergeCell ref="AE54:AH54"/>
    <mergeCell ref="AI54:AK54"/>
    <mergeCell ref="AL54:AN54"/>
    <mergeCell ref="AO54:AQ54"/>
    <mergeCell ref="AR54:AT54"/>
    <mergeCell ref="B55:F55"/>
    <mergeCell ref="G55:J55"/>
    <mergeCell ref="K55:M55"/>
    <mergeCell ref="N55:P55"/>
    <mergeCell ref="Q55:S55"/>
    <mergeCell ref="T55:V55"/>
    <mergeCell ref="Z55:AD55"/>
    <mergeCell ref="AE55:AH55"/>
    <mergeCell ref="AI55:AK55"/>
    <mergeCell ref="AL55:AN55"/>
    <mergeCell ref="AO55:AQ55"/>
    <mergeCell ref="AR55:AT55"/>
    <mergeCell ref="B56:F56"/>
    <mergeCell ref="G56:J56"/>
    <mergeCell ref="K56:M56"/>
    <mergeCell ref="N56:P56"/>
    <mergeCell ref="Q56:S56"/>
    <mergeCell ref="T56:V56"/>
    <mergeCell ref="Z56:AD56"/>
    <mergeCell ref="AE56:AH56"/>
    <mergeCell ref="AI56:AK56"/>
    <mergeCell ref="AL56:AN56"/>
    <mergeCell ref="AO56:AQ56"/>
    <mergeCell ref="AR56:AT56"/>
    <mergeCell ref="B57:F57"/>
    <mergeCell ref="G57:J57"/>
    <mergeCell ref="K57:M57"/>
    <mergeCell ref="N57:P57"/>
    <mergeCell ref="Q57:S57"/>
    <mergeCell ref="T57:V57"/>
    <mergeCell ref="Z57:AD57"/>
    <mergeCell ref="AE57:AH57"/>
    <mergeCell ref="AI57:AK57"/>
    <mergeCell ref="AL57:AN57"/>
    <mergeCell ref="AO57:AQ57"/>
    <mergeCell ref="AR57:AT57"/>
    <mergeCell ref="B58:F58"/>
    <mergeCell ref="G58:J58"/>
    <mergeCell ref="K58:M58"/>
    <mergeCell ref="N58:P58"/>
    <mergeCell ref="Q58:S58"/>
    <mergeCell ref="T58:V58"/>
    <mergeCell ref="Z58:AD58"/>
    <mergeCell ref="AE58:AH58"/>
    <mergeCell ref="AI58:AK58"/>
    <mergeCell ref="AL58:AN58"/>
    <mergeCell ref="AO58:AQ58"/>
    <mergeCell ref="AR58:AT58"/>
    <mergeCell ref="B59:F59"/>
    <mergeCell ref="G59:J59"/>
    <mergeCell ref="K59:M59"/>
    <mergeCell ref="N59:P59"/>
    <mergeCell ref="Q59:S59"/>
    <mergeCell ref="T59:V59"/>
    <mergeCell ref="Z59:AD59"/>
    <mergeCell ref="AE59:AH59"/>
    <mergeCell ref="AI59:AK59"/>
    <mergeCell ref="AL59:AN59"/>
    <mergeCell ref="AO59:AQ59"/>
    <mergeCell ref="AR59:AT59"/>
    <mergeCell ref="B60:F60"/>
    <mergeCell ref="G60:J60"/>
    <mergeCell ref="K60:M60"/>
    <mergeCell ref="N60:P60"/>
    <mergeCell ref="Q60:S60"/>
    <mergeCell ref="T60:V60"/>
    <mergeCell ref="Z60:AD60"/>
    <mergeCell ref="AE60:AH60"/>
    <mergeCell ref="AI60:AK60"/>
    <mergeCell ref="AL60:AN60"/>
    <mergeCell ref="AO60:AQ60"/>
    <mergeCell ref="AR60:AT60"/>
    <mergeCell ref="B61:F61"/>
    <mergeCell ref="G61:J61"/>
    <mergeCell ref="K61:M61"/>
    <mergeCell ref="N61:P61"/>
    <mergeCell ref="Q61:S61"/>
    <mergeCell ref="T61:V61"/>
    <mergeCell ref="Z61:AD61"/>
    <mergeCell ref="AE61:AH61"/>
    <mergeCell ref="AI61:AK61"/>
    <mergeCell ref="AL61:AN61"/>
    <mergeCell ref="AO61:AQ61"/>
    <mergeCell ref="AR61:AT61"/>
    <mergeCell ref="B62:F62"/>
    <mergeCell ref="G62:J62"/>
    <mergeCell ref="K62:M62"/>
    <mergeCell ref="N62:P62"/>
    <mergeCell ref="Q62:S62"/>
    <mergeCell ref="T62:V62"/>
    <mergeCell ref="Z62:AD62"/>
    <mergeCell ref="AE62:AH62"/>
    <mergeCell ref="AI62:AK62"/>
    <mergeCell ref="AL62:AN62"/>
    <mergeCell ref="AO62:AQ62"/>
    <mergeCell ref="AR62:AT62"/>
    <mergeCell ref="B63:F63"/>
    <mergeCell ref="G63:J63"/>
    <mergeCell ref="K63:M63"/>
    <mergeCell ref="N63:P63"/>
    <mergeCell ref="Q63:S63"/>
    <mergeCell ref="T63:V63"/>
    <mergeCell ref="Z63:AD63"/>
    <mergeCell ref="AE63:AH63"/>
    <mergeCell ref="AI63:AK63"/>
    <mergeCell ref="AL63:AN63"/>
    <mergeCell ref="AO63:AQ63"/>
    <mergeCell ref="AR63:AT63"/>
    <mergeCell ref="B64:F64"/>
    <mergeCell ref="G64:J64"/>
    <mergeCell ref="K64:M64"/>
    <mergeCell ref="N64:P64"/>
    <mergeCell ref="Q64:S64"/>
    <mergeCell ref="T64:V64"/>
    <mergeCell ref="Z64:AD64"/>
    <mergeCell ref="AE64:AH64"/>
    <mergeCell ref="AI64:AK64"/>
    <mergeCell ref="AL64:AN64"/>
    <mergeCell ref="AO64:AQ64"/>
    <mergeCell ref="AR64:AT64"/>
    <mergeCell ref="B65:F65"/>
    <mergeCell ref="G65:J65"/>
    <mergeCell ref="K65:M65"/>
    <mergeCell ref="N65:P65"/>
    <mergeCell ref="Q65:S65"/>
    <mergeCell ref="T65:V65"/>
    <mergeCell ref="Z65:AD65"/>
    <mergeCell ref="AE65:AH65"/>
    <mergeCell ref="AI65:AK65"/>
    <mergeCell ref="AL65:AN65"/>
    <mergeCell ref="AO65:AQ65"/>
    <mergeCell ref="AR65:AT65"/>
    <mergeCell ref="B66:F66"/>
    <mergeCell ref="G66:J66"/>
    <mergeCell ref="K66:M66"/>
    <mergeCell ref="N66:P66"/>
    <mergeCell ref="Q66:S66"/>
    <mergeCell ref="T66:V66"/>
    <mergeCell ref="Z66:AD66"/>
    <mergeCell ref="AE66:AH66"/>
    <mergeCell ref="AI66:AK66"/>
    <mergeCell ref="AL66:AN66"/>
    <mergeCell ref="AO66:AQ66"/>
    <mergeCell ref="AR66:AT66"/>
    <mergeCell ref="B67:F67"/>
    <mergeCell ref="G67:J67"/>
    <mergeCell ref="K67:M67"/>
    <mergeCell ref="N67:P67"/>
    <mergeCell ref="Q67:S67"/>
    <mergeCell ref="T67:V67"/>
    <mergeCell ref="Z67:AD67"/>
    <mergeCell ref="AE67:AH67"/>
    <mergeCell ref="AI67:AK67"/>
    <mergeCell ref="AL67:AN67"/>
    <mergeCell ref="AO67:AQ67"/>
    <mergeCell ref="AR67:AT67"/>
    <mergeCell ref="B68:F68"/>
    <mergeCell ref="G68:J68"/>
    <mergeCell ref="K68:M68"/>
    <mergeCell ref="N68:P68"/>
    <mergeCell ref="Q68:S68"/>
    <mergeCell ref="T68:V68"/>
    <mergeCell ref="Z68:AD68"/>
    <mergeCell ref="AE68:AH68"/>
    <mergeCell ref="AI68:AK68"/>
    <mergeCell ref="AL68:AN68"/>
    <mergeCell ref="AO68:AQ68"/>
    <mergeCell ref="AR68:AT68"/>
    <mergeCell ref="B69:F69"/>
    <mergeCell ref="G69:J69"/>
    <mergeCell ref="K69:M69"/>
    <mergeCell ref="N69:P69"/>
    <mergeCell ref="Q69:S69"/>
    <mergeCell ref="T69:V69"/>
    <mergeCell ref="Z69:AD69"/>
    <mergeCell ref="AE69:AH69"/>
    <mergeCell ref="AI69:AK69"/>
    <mergeCell ref="AL69:AN69"/>
    <mergeCell ref="AO69:AQ69"/>
    <mergeCell ref="AR69:AT69"/>
    <mergeCell ref="B70:F70"/>
    <mergeCell ref="G70:J70"/>
    <mergeCell ref="K70:M70"/>
    <mergeCell ref="N70:P70"/>
    <mergeCell ref="Q70:S70"/>
    <mergeCell ref="T70:V70"/>
    <mergeCell ref="Z70:AD70"/>
    <mergeCell ref="AE70:AH70"/>
    <mergeCell ref="AI70:AK70"/>
    <mergeCell ref="AL70:AN70"/>
    <mergeCell ref="AO70:AQ70"/>
    <mergeCell ref="AR70:AT70"/>
    <mergeCell ref="B71:F71"/>
    <mergeCell ref="G71:J71"/>
    <mergeCell ref="K71:M71"/>
    <mergeCell ref="N71:P71"/>
    <mergeCell ref="Q71:S71"/>
    <mergeCell ref="T71:V71"/>
    <mergeCell ref="Z71:AD71"/>
    <mergeCell ref="AE71:AH71"/>
    <mergeCell ref="AI71:AK71"/>
    <mergeCell ref="AL71:AN71"/>
    <mergeCell ref="AO71:AQ71"/>
    <mergeCell ref="AR71:AT71"/>
    <mergeCell ref="B72:F72"/>
    <mergeCell ref="G72:J72"/>
    <mergeCell ref="K72:M72"/>
    <mergeCell ref="N72:P72"/>
    <mergeCell ref="Q72:S72"/>
    <mergeCell ref="T72:V72"/>
    <mergeCell ref="Z72:AD72"/>
    <mergeCell ref="AE72:AH72"/>
    <mergeCell ref="AI72:AK72"/>
    <mergeCell ref="AL72:AN72"/>
    <mergeCell ref="AO72:AQ72"/>
    <mergeCell ref="AR72:AT72"/>
    <mergeCell ref="B73:F73"/>
    <mergeCell ref="G73:J73"/>
    <mergeCell ref="K73:M73"/>
    <mergeCell ref="N73:P73"/>
    <mergeCell ref="Q73:S73"/>
    <mergeCell ref="T73:V73"/>
    <mergeCell ref="Z73:AD73"/>
    <mergeCell ref="AE73:AH73"/>
    <mergeCell ref="AI73:AK73"/>
    <mergeCell ref="AL73:AN73"/>
    <mergeCell ref="AO73:AQ73"/>
    <mergeCell ref="AR73:AT73"/>
    <mergeCell ref="B74:F74"/>
    <mergeCell ref="G74:J74"/>
    <mergeCell ref="K74:M74"/>
    <mergeCell ref="N74:P74"/>
    <mergeCell ref="Q74:S74"/>
    <mergeCell ref="T74:V74"/>
    <mergeCell ref="Z74:AD74"/>
    <mergeCell ref="AE74:AH74"/>
    <mergeCell ref="AI74:AK74"/>
    <mergeCell ref="AL74:AN74"/>
    <mergeCell ref="AO74:AQ74"/>
    <mergeCell ref="AR74:AT74"/>
    <mergeCell ref="B75:F75"/>
    <mergeCell ref="G75:J75"/>
    <mergeCell ref="K75:M75"/>
    <mergeCell ref="N75:P75"/>
    <mergeCell ref="Q75:S75"/>
    <mergeCell ref="T75:V75"/>
    <mergeCell ref="Z75:AD75"/>
    <mergeCell ref="AE75:AH75"/>
    <mergeCell ref="AI75:AK75"/>
    <mergeCell ref="AL75:AN75"/>
    <mergeCell ref="AO75:AQ75"/>
    <mergeCell ref="AR75:AT75"/>
    <mergeCell ref="B76:F76"/>
    <mergeCell ref="G76:J76"/>
    <mergeCell ref="K76:M76"/>
    <mergeCell ref="N76:P76"/>
    <mergeCell ref="Q76:S76"/>
    <mergeCell ref="T76:V76"/>
    <mergeCell ref="Z76:AD76"/>
    <mergeCell ref="AE76:AH76"/>
    <mergeCell ref="AI76:AK76"/>
    <mergeCell ref="AL76:AN76"/>
    <mergeCell ref="AO76:AQ76"/>
    <mergeCell ref="AR76:AT76"/>
    <mergeCell ref="B77:F77"/>
    <mergeCell ref="G77:J77"/>
    <mergeCell ref="K77:M77"/>
    <mergeCell ref="N77:P77"/>
    <mergeCell ref="Q77:S77"/>
    <mergeCell ref="T77:V77"/>
    <mergeCell ref="Z77:AD77"/>
    <mergeCell ref="AE77:AH77"/>
    <mergeCell ref="AI77:AK77"/>
    <mergeCell ref="AL77:AN77"/>
    <mergeCell ref="AO77:AQ77"/>
    <mergeCell ref="AR77:AT77"/>
    <mergeCell ref="B78:F78"/>
    <mergeCell ref="G78:J78"/>
    <mergeCell ref="K78:M78"/>
    <mergeCell ref="N78:P78"/>
    <mergeCell ref="Q78:S78"/>
    <mergeCell ref="T78:V78"/>
    <mergeCell ref="Z78:AD78"/>
    <mergeCell ref="AE78:AH78"/>
    <mergeCell ref="AI78:AK78"/>
    <mergeCell ref="AL78:AN78"/>
    <mergeCell ref="AO78:AQ78"/>
    <mergeCell ref="AR78:AT78"/>
    <mergeCell ref="B79:F79"/>
    <mergeCell ref="G79:J79"/>
    <mergeCell ref="K79:M79"/>
    <mergeCell ref="N79:P79"/>
    <mergeCell ref="Q79:S79"/>
    <mergeCell ref="T79:V79"/>
    <mergeCell ref="Z79:AD79"/>
    <mergeCell ref="AE79:AH79"/>
    <mergeCell ref="AI79:AK79"/>
    <mergeCell ref="AL79:AN79"/>
    <mergeCell ref="AO79:AQ79"/>
    <mergeCell ref="AR79:AT79"/>
    <mergeCell ref="B80:F80"/>
    <mergeCell ref="G80:J80"/>
    <mergeCell ref="K80:M80"/>
    <mergeCell ref="N80:P80"/>
    <mergeCell ref="Q80:S80"/>
    <mergeCell ref="T80:V80"/>
    <mergeCell ref="Z80:AD80"/>
    <mergeCell ref="AE80:AH80"/>
    <mergeCell ref="AI80:AK80"/>
    <mergeCell ref="AL80:AN80"/>
    <mergeCell ref="AO80:AQ80"/>
    <mergeCell ref="AR80:AT80"/>
    <mergeCell ref="B81:F81"/>
    <mergeCell ref="G81:J81"/>
    <mergeCell ref="K81:M81"/>
    <mergeCell ref="N81:P81"/>
    <mergeCell ref="Q81:S81"/>
    <mergeCell ref="T81:V81"/>
    <mergeCell ref="Z81:AD81"/>
    <mergeCell ref="AE81:AH81"/>
    <mergeCell ref="AI81:AK81"/>
    <mergeCell ref="AL81:AN81"/>
    <mergeCell ref="AO81:AQ81"/>
    <mergeCell ref="AR81:AT81"/>
    <mergeCell ref="B82:F82"/>
    <mergeCell ref="G82:J82"/>
    <mergeCell ref="K82:M82"/>
    <mergeCell ref="N82:P82"/>
    <mergeCell ref="Q82:S82"/>
    <mergeCell ref="T82:V82"/>
    <mergeCell ref="Z82:AD82"/>
    <mergeCell ref="AE82:AH82"/>
    <mergeCell ref="AI82:AK82"/>
    <mergeCell ref="AL82:AN82"/>
    <mergeCell ref="AO82:AQ82"/>
    <mergeCell ref="AR82:AT82"/>
    <mergeCell ref="B83:F83"/>
    <mergeCell ref="G83:J83"/>
    <mergeCell ref="K83:M83"/>
    <mergeCell ref="N83:P83"/>
    <mergeCell ref="Q83:S83"/>
    <mergeCell ref="T83:V83"/>
    <mergeCell ref="Z83:AD83"/>
    <mergeCell ref="AE83:AH83"/>
    <mergeCell ref="AI83:AK83"/>
    <mergeCell ref="AL83:AN83"/>
    <mergeCell ref="AO83:AQ83"/>
    <mergeCell ref="AR83:AT83"/>
    <mergeCell ref="B84:F84"/>
    <mergeCell ref="G84:J84"/>
    <mergeCell ref="K84:M84"/>
    <mergeCell ref="N84:P84"/>
    <mergeCell ref="Q84:S84"/>
    <mergeCell ref="T84:V84"/>
    <mergeCell ref="Z84:AD84"/>
    <mergeCell ref="AE84:AH84"/>
    <mergeCell ref="AI84:AK84"/>
    <mergeCell ref="AL84:AN84"/>
    <mergeCell ref="AO84:AQ84"/>
    <mergeCell ref="AR84:AT84"/>
    <mergeCell ref="A86:V86"/>
    <mergeCell ref="A87:V87"/>
    <mergeCell ref="A90:T90"/>
    <mergeCell ref="B13:H14"/>
    <mergeCell ref="I13:O14"/>
    <mergeCell ref="P13:V14"/>
    <mergeCell ref="Z13:AF14"/>
    <mergeCell ref="AG13:AM14"/>
    <mergeCell ref="AN13:AT14"/>
    <mergeCell ref="B21:I22"/>
    <mergeCell ref="J21:O22"/>
    <mergeCell ref="P21:V22"/>
    <mergeCell ref="Z21:AG22"/>
    <mergeCell ref="AH21:AM22"/>
    <mergeCell ref="AN21:AT22"/>
    <mergeCell ref="B23:I25"/>
    <mergeCell ref="J23:O25"/>
    <mergeCell ref="Z23:AG25"/>
    <mergeCell ref="AH23:AM25"/>
    <mergeCell ref="B26:I28"/>
    <mergeCell ref="J26:O28"/>
    <mergeCell ref="Z26:AG28"/>
    <mergeCell ref="AH26:AM28"/>
    <mergeCell ref="B29:I31"/>
    <mergeCell ref="J29:O31"/>
    <mergeCell ref="Z29:AG31"/>
    <mergeCell ref="AH29:AM31"/>
    <mergeCell ref="B32:I34"/>
    <mergeCell ref="J32:O34"/>
    <mergeCell ref="Z32:AG34"/>
    <mergeCell ref="AH32:AM34"/>
    <mergeCell ref="B35:I37"/>
    <mergeCell ref="J35:O37"/>
    <mergeCell ref="Z35:AG37"/>
    <mergeCell ref="AH35:AM37"/>
    <mergeCell ref="B38:I40"/>
    <mergeCell ref="J38:O40"/>
    <mergeCell ref="Z38:AG40"/>
    <mergeCell ref="AH38:AM40"/>
    <mergeCell ref="B42:I43"/>
    <mergeCell ref="J42:O43"/>
    <mergeCell ref="Z42:AG43"/>
    <mergeCell ref="AH42:AM43"/>
    <mergeCell ref="B44:I45"/>
    <mergeCell ref="J44:O45"/>
    <mergeCell ref="Z44:AG45"/>
    <mergeCell ref="AH44:AM45"/>
    <mergeCell ref="J46:O47"/>
    <mergeCell ref="AH46:AM47"/>
    <mergeCell ref="B51:F53"/>
    <mergeCell ref="Z51:AD53"/>
    <mergeCell ref="G52:J53"/>
    <mergeCell ref="K52:M53"/>
    <mergeCell ref="N52:P53"/>
    <mergeCell ref="Q52:S53"/>
    <mergeCell ref="T52:V53"/>
    <mergeCell ref="AE52:AH53"/>
    <mergeCell ref="AI52:AK53"/>
    <mergeCell ref="AL52:AN53"/>
    <mergeCell ref="AO52:AQ53"/>
    <mergeCell ref="AR52:AT53"/>
  </mergeCells>
  <phoneticPr fontId="2"/>
  <conditionalFormatting sqref="I13:M13 AG13:AK13">
    <cfRule type="expression" dxfId="12" priority="1" stopIfTrue="1">
      <formula>AND(SUM(I15:O16)&lt;&gt;SUM(Q54:S83),SUM(I15:O16)&lt;&gt;#REF!+I15)</formula>
    </cfRule>
  </conditionalFormatting>
  <conditionalFormatting sqref="N13:O13">
    <cfRule type="expression" dxfId="11" priority="2" stopIfTrue="1">
      <formula>AND(SUM(N15:T16)&lt;&gt;SUM(V54:AD83),SUM(N15:T16)&lt;&gt;#REF!+N15)</formula>
    </cfRule>
  </conditionalFormatting>
  <conditionalFormatting sqref="I14:O14 AG14:AK14">
    <cfRule type="expression" dxfId="10" priority="3" stopIfTrue="1">
      <formula>AND(SUM(I16:O19)&lt;&gt;SUM(Q55:S85),SUM(I16:O19)&lt;&gt;#REF!+#REF!)</formula>
    </cfRule>
  </conditionalFormatting>
  <conditionalFormatting sqref="AL13:AM13">
    <cfRule type="expression" dxfId="9" priority="4" stopIfTrue="1">
      <formula>AND(SUM(AL15:AR16)&lt;&gt;SUM(AT54:BA83),SUM(AL15:AR16)&lt;&gt;#REF!+AL15)</formula>
    </cfRule>
  </conditionalFormatting>
  <conditionalFormatting sqref="AL14:AM14">
    <cfRule type="expression" dxfId="8" priority="5" stopIfTrue="1">
      <formula>AND(SUM(AL16:AR19)&lt;&gt;SUM(AT55:AU85),SUM(AL16:AR19)&lt;&gt;#REF!+#REF!)</formula>
    </cfRule>
  </conditionalFormatting>
  <conditionalFormatting sqref="G84:J84 AE84:AH84">
    <cfRule type="cellIs" dxfId="7" priority="6" stopIfTrue="1" operator="notEqual">
      <formula>$I$15</formula>
    </cfRule>
  </conditionalFormatting>
  <conditionalFormatting sqref="I15:O15 AG15:AM15">
    <cfRule type="cellIs" dxfId="6" priority="7" stopIfTrue="1" operator="notEqual">
      <formula>$G$84</formula>
    </cfRule>
  </conditionalFormatting>
  <conditionalFormatting sqref="K84:M84 AI84:AK84">
    <cfRule type="cellIs" dxfId="5" priority="8" stopIfTrue="1" operator="notEqual">
      <formula>$I$16</formula>
    </cfRule>
  </conditionalFormatting>
  <conditionalFormatting sqref="I16:O16 AG16:AM16">
    <cfRule type="cellIs" dxfId="4" priority="9" stopIfTrue="1" operator="notEqual">
      <formula>$K$84</formula>
    </cfRule>
  </conditionalFormatting>
  <conditionalFormatting sqref="P45 T45">
    <cfRule type="expression" dxfId="3" priority="10" stopIfTrue="1">
      <formula>IF($J$44&lt;&gt;0,"","")</formula>
    </cfRule>
  </conditionalFormatting>
  <conditionalFormatting sqref="T46:V47 T43:V43">
    <cfRule type="expression" dxfId="2" priority="11" stopIfTrue="1">
      <formula>"isblank($T$46)"</formula>
    </cfRule>
  </conditionalFormatting>
  <pageMargins left="0.78740157480314965" right="0.59055118110236227" top="0.78740157480314965" bottom="0.59055118110236227" header="0.51181102362204722" footer="0.51181102362204722"/>
  <pageSetup paperSize="9" scale="72" fitToWidth="1" fitToHeight="0" orientation="portrait" usePrinterDefaults="1" r:id="rId1"/>
  <headerFooter alignWithMargins="0"/>
  <rowBreaks count="1" manualBreakCount="1">
    <brk id="48"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tabColor rgb="FFFF0000"/>
    <pageSetUpPr fitToPage="1"/>
  </sheetPr>
  <dimension ref="A1:AG38"/>
  <sheetViews>
    <sheetView showZeros="0" view="pageBreakPreview" zoomScale="70" zoomScaleNormal="75" zoomScaleSheetLayoutView="70" workbookViewId="0">
      <selection activeCell="A2" sqref="A2:B4"/>
    </sheetView>
  </sheetViews>
  <sheetFormatPr defaultRowHeight="14.25"/>
  <cols>
    <col min="1" max="1" width="3.5" style="222" customWidth="1"/>
    <col min="2" max="2" width="24.75" style="222" customWidth="1"/>
    <col min="3" max="15" width="17.125" style="222" customWidth="1"/>
    <col min="16" max="16" width="2.75" style="222" customWidth="1"/>
    <col min="17" max="17" width="7.25" style="222" customWidth="1"/>
    <col min="18" max="18" width="18.25" style="222" customWidth="1"/>
    <col min="19" max="31" width="18" style="222" customWidth="1"/>
    <col min="32" max="16384" width="9" style="222" customWidth="1"/>
  </cols>
  <sheetData>
    <row r="1" spans="1:33" ht="33.75" customHeight="1">
      <c r="A1" s="223" t="s">
        <v>272</v>
      </c>
      <c r="B1" s="231"/>
      <c r="J1" s="281" t="s">
        <v>244</v>
      </c>
      <c r="K1" s="287"/>
      <c r="L1" s="292"/>
      <c r="M1" s="292"/>
      <c r="N1" s="302"/>
      <c r="O1" s="307"/>
    </row>
    <row r="2" spans="1:33" ht="22.5" customHeight="1">
      <c r="A2" s="224" t="s">
        <v>1</v>
      </c>
      <c r="B2" s="232"/>
      <c r="C2" s="240" t="s">
        <v>177</v>
      </c>
      <c r="D2" s="247"/>
      <c r="E2" s="247"/>
      <c r="F2" s="247"/>
      <c r="G2" s="266"/>
      <c r="H2" s="240" t="s">
        <v>178</v>
      </c>
      <c r="I2" s="247"/>
      <c r="J2" s="247"/>
      <c r="K2" s="247"/>
      <c r="L2" s="247"/>
      <c r="M2" s="266"/>
      <c r="N2" s="303" t="s">
        <v>190</v>
      </c>
      <c r="O2" s="308" t="s">
        <v>191</v>
      </c>
      <c r="Q2" s="311" t="s">
        <v>1</v>
      </c>
      <c r="R2" s="317"/>
      <c r="S2" s="321" t="s">
        <v>7</v>
      </c>
      <c r="T2" s="328"/>
      <c r="U2" s="328"/>
      <c r="V2" s="328"/>
      <c r="W2" s="345"/>
      <c r="X2" s="321" t="s">
        <v>16</v>
      </c>
      <c r="Y2" s="328"/>
      <c r="Z2" s="328"/>
      <c r="AA2" s="328"/>
      <c r="AB2" s="328"/>
      <c r="AC2" s="345"/>
      <c r="AD2" s="369" t="s">
        <v>23</v>
      </c>
      <c r="AE2" s="373" t="s">
        <v>24</v>
      </c>
    </row>
    <row r="3" spans="1:33" ht="23.25" customHeight="1">
      <c r="A3" s="225"/>
      <c r="B3" s="233"/>
      <c r="C3" s="241" t="s">
        <v>132</v>
      </c>
      <c r="D3" s="248" t="s">
        <v>181</v>
      </c>
      <c r="E3" s="254" t="s">
        <v>182</v>
      </c>
      <c r="F3" s="260" t="s">
        <v>59</v>
      </c>
      <c r="G3" s="267" t="s">
        <v>183</v>
      </c>
      <c r="H3" s="273" t="s">
        <v>184</v>
      </c>
      <c r="I3" s="275"/>
      <c r="J3" s="282"/>
      <c r="K3" s="248" t="s">
        <v>185</v>
      </c>
      <c r="L3" s="293" t="s">
        <v>188</v>
      </c>
      <c r="M3" s="298" t="s">
        <v>142</v>
      </c>
      <c r="N3" s="304"/>
      <c r="O3" s="309"/>
      <c r="Q3" s="312"/>
      <c r="R3" s="318"/>
      <c r="S3" s="322" t="s">
        <v>3</v>
      </c>
      <c r="T3" s="329" t="s">
        <v>13</v>
      </c>
      <c r="U3" s="335" t="s">
        <v>14</v>
      </c>
      <c r="V3" s="339" t="s">
        <v>10</v>
      </c>
      <c r="W3" s="346" t="s">
        <v>0</v>
      </c>
      <c r="X3" s="349" t="s">
        <v>17</v>
      </c>
      <c r="Y3" s="351"/>
      <c r="Z3" s="355"/>
      <c r="AA3" s="358" t="s">
        <v>18</v>
      </c>
      <c r="AB3" s="329"/>
      <c r="AC3" s="362" t="s">
        <v>22</v>
      </c>
      <c r="AD3" s="370"/>
      <c r="AE3" s="374"/>
    </row>
    <row r="4" spans="1:33" ht="109.5" customHeight="1">
      <c r="A4" s="225"/>
      <c r="B4" s="233"/>
      <c r="C4" s="242"/>
      <c r="D4" s="249"/>
      <c r="E4" s="255"/>
      <c r="F4" s="261"/>
      <c r="G4" s="268"/>
      <c r="H4" s="274"/>
      <c r="I4" s="276" t="s">
        <v>179</v>
      </c>
      <c r="J4" s="283" t="s">
        <v>208</v>
      </c>
      <c r="K4" s="249"/>
      <c r="L4" s="294"/>
      <c r="M4" s="268"/>
      <c r="N4" s="261"/>
      <c r="O4" s="310"/>
      <c r="Q4" s="312"/>
      <c r="R4" s="318"/>
      <c r="S4" s="323"/>
      <c r="T4" s="330"/>
      <c r="U4" s="336"/>
      <c r="V4" s="340"/>
      <c r="W4" s="347"/>
      <c r="X4" s="350"/>
      <c r="Y4" s="352" t="s">
        <v>8</v>
      </c>
      <c r="Z4" s="356" t="s">
        <v>55</v>
      </c>
      <c r="AA4" s="359"/>
      <c r="AB4" s="330" t="s">
        <v>12</v>
      </c>
      <c r="AC4" s="363"/>
      <c r="AD4" s="371"/>
      <c r="AE4" s="374"/>
      <c r="AG4" s="222" t="s">
        <v>149</v>
      </c>
    </row>
    <row r="5" spans="1:33" ht="26.25" customHeight="1">
      <c r="A5" s="226" t="s">
        <v>4</v>
      </c>
      <c r="B5" s="234"/>
      <c r="C5" s="243">
        <f t="shared" ref="C5:I5" si="0">SUM(C6:C35)</f>
        <v>882000</v>
      </c>
      <c r="D5" s="250">
        <f t="shared" si="0"/>
        <v>3528000</v>
      </c>
      <c r="E5" s="256">
        <f t="shared" si="0"/>
        <v>4410000</v>
      </c>
      <c r="F5" s="262">
        <f t="shared" si="0"/>
        <v>35000</v>
      </c>
      <c r="G5" s="269">
        <f t="shared" si="0"/>
        <v>4445000</v>
      </c>
      <c r="H5" s="243">
        <f t="shared" si="0"/>
        <v>8000000</v>
      </c>
      <c r="I5" s="277">
        <f t="shared" si="0"/>
        <v>0</v>
      </c>
      <c r="J5" s="277">
        <f>'資料2.内訳'!O52</f>
        <v>7900000</v>
      </c>
      <c r="K5" s="288">
        <f>SUM(K6:K35)</f>
        <v>100000</v>
      </c>
      <c r="L5" s="262">
        <f>SUM(L6:L35)</f>
        <v>2414400</v>
      </c>
      <c r="M5" s="299">
        <f>SUM(M6:M35)</f>
        <v>2514400</v>
      </c>
      <c r="N5" s="262">
        <f>G5-M5</f>
        <v>1930600</v>
      </c>
      <c r="O5" s="269"/>
      <c r="Q5" s="313" t="s">
        <v>4</v>
      </c>
      <c r="R5" s="319"/>
      <c r="S5" s="324">
        <f>SUM(S6:S35)</f>
        <v>882000</v>
      </c>
      <c r="T5" s="331">
        <f>SUM(T6:T35)</f>
        <v>3528000</v>
      </c>
      <c r="U5" s="337">
        <f t="shared" ref="U5:U35" si="1">S5+T5</f>
        <v>4410000</v>
      </c>
      <c r="V5" s="341">
        <f>SUM(V6:V35)</f>
        <v>35000</v>
      </c>
      <c r="W5" s="348">
        <f t="shared" ref="W5:W35" si="2">U5+V5</f>
        <v>4445000</v>
      </c>
      <c r="X5" s="324">
        <f>SUM(X6:X35)</f>
        <v>8000000</v>
      </c>
      <c r="Y5" s="331">
        <f>SUMIF(Y6:Y35,"&lt;&gt;#VALUE!")</f>
        <v>0</v>
      </c>
      <c r="Z5" s="331">
        <f>'資料2.内訳'!$O$52</f>
        <v>7900000</v>
      </c>
      <c r="AA5" s="360">
        <f t="shared" ref="AA5:AA35" si="3">X5-Y5-Z5</f>
        <v>100000</v>
      </c>
      <c r="AB5" s="331">
        <f>SUM(AB6:AB35)</f>
        <v>2414400</v>
      </c>
      <c r="AC5" s="364">
        <f t="shared" ref="AC5:AC35" si="4">AA5+AB5</f>
        <v>2514400</v>
      </c>
      <c r="AD5" s="372">
        <f t="shared" ref="AD5:AD35" si="5">W5-AC5</f>
        <v>1930600</v>
      </c>
      <c r="AE5" s="348"/>
    </row>
    <row r="6" spans="1:33" ht="26.25" customHeight="1">
      <c r="A6" s="227">
        <v>1</v>
      </c>
      <c r="B6" s="235" t="str">
        <f t="shared" ref="B6:D35" si="6">R6</f>
        <v>口羽太郎</v>
      </c>
      <c r="C6" s="244">
        <f t="shared" si="6"/>
        <v>42000</v>
      </c>
      <c r="D6" s="251">
        <f t="shared" si="6"/>
        <v>294000</v>
      </c>
      <c r="E6" s="257">
        <f t="shared" ref="E6:E35" si="7">IF(ISERROR(U6),"",U6)</f>
        <v>336000</v>
      </c>
      <c r="F6" s="263">
        <f t="shared" ref="F6:F35" si="8">V6</f>
        <v>5000</v>
      </c>
      <c r="G6" s="270">
        <f t="shared" ref="G6:G35" si="9">IF(ISERROR(W6),"",W6)</f>
        <v>341000</v>
      </c>
      <c r="H6" s="244">
        <f t="shared" ref="H6:H35" si="10">X6</f>
        <v>666667</v>
      </c>
      <c r="I6" s="278"/>
      <c r="J6" s="284">
        <v>658333</v>
      </c>
      <c r="K6" s="289">
        <f t="shared" ref="K6:K35" si="11">IF(ISERROR(AA6),"",H6-I6-J6)</f>
        <v>8334</v>
      </c>
      <c r="L6" s="295">
        <f>'[1]資料5.減価償却費個別内訳'!C6</f>
        <v>201200</v>
      </c>
      <c r="M6" s="270">
        <f t="shared" ref="M6:M35" si="12">IF(ISERROR(AC6),"",K6+L6)</f>
        <v>209534</v>
      </c>
      <c r="N6" s="305">
        <f t="shared" ref="N6:N35" si="13">IF(ISERROR(AD6),"",G6-M6)</f>
        <v>131466</v>
      </c>
      <c r="O6" s="300" t="str">
        <f>'資料1.参加者及び面積'!I3</f>
        <v>邑南集落</v>
      </c>
      <c r="Q6" s="314">
        <v>1</v>
      </c>
      <c r="R6" s="320" t="str">
        <f>収支報告書!$B54</f>
        <v>口羽太郎</v>
      </c>
      <c r="S6" s="325">
        <f>収支報告書!$G54</f>
        <v>42000</v>
      </c>
      <c r="T6" s="332">
        <f>収支報告書!$K54</f>
        <v>294000</v>
      </c>
      <c r="U6" s="332">
        <f t="shared" si="1"/>
        <v>336000</v>
      </c>
      <c r="V6" s="342">
        <f>'資料3.個人の所得内訳'!$C7</f>
        <v>5000</v>
      </c>
      <c r="W6" s="270">
        <f t="shared" si="2"/>
        <v>341000</v>
      </c>
      <c r="X6" s="325">
        <f>収支報告書!N54</f>
        <v>666667</v>
      </c>
      <c r="Y6" s="353">
        <f>INT('資料2.内訳'!$K$52*X6/$X$5)</f>
        <v>0</v>
      </c>
      <c r="Z6" s="332"/>
      <c r="AA6" s="353">
        <f t="shared" si="3"/>
        <v>666667</v>
      </c>
      <c r="AB6" s="332">
        <f>'資料4.減価償却内訳'!$Y7</f>
        <v>201200</v>
      </c>
      <c r="AC6" s="365">
        <f t="shared" si="4"/>
        <v>867867</v>
      </c>
      <c r="AD6" s="305">
        <f t="shared" si="5"/>
        <v>-526867</v>
      </c>
      <c r="AE6" s="300" t="str">
        <f>IF(ISBLANK('資料1.参加者及び面積'!I3),"",'資料1.参加者及び面積'!I3)</f>
        <v>邑南集落</v>
      </c>
      <c r="AG6" s="1">
        <f>IF('資料2.内訳'!$K$52-$Y$5&gt;0,1,0)</f>
        <v>0</v>
      </c>
    </row>
    <row r="7" spans="1:33" ht="26.25" customHeight="1">
      <c r="A7" s="228">
        <v>2</v>
      </c>
      <c r="B7" s="236" t="str">
        <f t="shared" si="6"/>
        <v>阿須那花子</v>
      </c>
      <c r="C7" s="245">
        <f t="shared" si="6"/>
        <v>42000</v>
      </c>
      <c r="D7" s="252">
        <f t="shared" si="6"/>
        <v>294000</v>
      </c>
      <c r="E7" s="258">
        <f t="shared" si="7"/>
        <v>336000</v>
      </c>
      <c r="F7" s="264">
        <f t="shared" si="8"/>
        <v>2000</v>
      </c>
      <c r="G7" s="271">
        <f t="shared" si="9"/>
        <v>338000</v>
      </c>
      <c r="H7" s="245">
        <f t="shared" si="10"/>
        <v>666667</v>
      </c>
      <c r="I7" s="279"/>
      <c r="J7" s="285">
        <v>658333</v>
      </c>
      <c r="K7" s="290">
        <f t="shared" si="11"/>
        <v>8334</v>
      </c>
      <c r="L7" s="296">
        <f>'[1]資料5.減価償却費個別内訳'!C7</f>
        <v>201200</v>
      </c>
      <c r="M7" s="271">
        <f t="shared" si="12"/>
        <v>209534</v>
      </c>
      <c r="N7" s="264">
        <f t="shared" si="13"/>
        <v>128466</v>
      </c>
      <c r="O7" s="271" t="str">
        <f>'資料1.参加者及び面積'!I4</f>
        <v>邑南集落</v>
      </c>
      <c r="Q7" s="315">
        <v>2</v>
      </c>
      <c r="R7" s="237" t="str">
        <f>収支報告書!$B55</f>
        <v>阿須那花子</v>
      </c>
      <c r="S7" s="326">
        <f>収支報告書!$G55</f>
        <v>42000</v>
      </c>
      <c r="T7" s="333">
        <f>収支報告書!$K55</f>
        <v>294000</v>
      </c>
      <c r="U7" s="333">
        <f t="shared" si="1"/>
        <v>336000</v>
      </c>
      <c r="V7" s="343">
        <f>'資料3.個人の所得内訳'!$C8</f>
        <v>2000</v>
      </c>
      <c r="W7" s="271">
        <f t="shared" si="2"/>
        <v>338000</v>
      </c>
      <c r="X7" s="326">
        <f>収支報告書!N55</f>
        <v>666667</v>
      </c>
      <c r="Y7" s="354">
        <f>INT('資料2.内訳'!$K$52*X7/$X$5)</f>
        <v>0</v>
      </c>
      <c r="Z7" s="333"/>
      <c r="AA7" s="354">
        <f t="shared" si="3"/>
        <v>666667</v>
      </c>
      <c r="AB7" s="333">
        <f>'資料4.減価償却内訳'!$Y8</f>
        <v>201200</v>
      </c>
      <c r="AC7" s="366">
        <f t="shared" si="4"/>
        <v>867867</v>
      </c>
      <c r="AD7" s="264">
        <f t="shared" si="5"/>
        <v>-529867</v>
      </c>
      <c r="AE7" s="271" t="str">
        <f>IF(ISBLANK('資料1.参加者及び面積'!I4),"",'資料1.参加者及び面積'!I4)</f>
        <v>邑南集落</v>
      </c>
      <c r="AG7" s="1">
        <f>IF('資料2.内訳'!$K$52-$Y$5-SUM($AG$6)&gt;0,1,0)</f>
        <v>0</v>
      </c>
    </row>
    <row r="8" spans="1:33" ht="26.25" customHeight="1">
      <c r="A8" s="228">
        <v>3</v>
      </c>
      <c r="B8" s="236" t="str">
        <f t="shared" si="6"/>
        <v>布施一郎</v>
      </c>
      <c r="C8" s="245">
        <f t="shared" si="6"/>
        <v>42000</v>
      </c>
      <c r="D8" s="252">
        <f t="shared" si="6"/>
        <v>294000</v>
      </c>
      <c r="E8" s="258">
        <f t="shared" si="7"/>
        <v>336000</v>
      </c>
      <c r="F8" s="264">
        <f t="shared" si="8"/>
        <v>4000</v>
      </c>
      <c r="G8" s="271">
        <f t="shared" si="9"/>
        <v>340000</v>
      </c>
      <c r="H8" s="245">
        <f t="shared" si="10"/>
        <v>666667</v>
      </c>
      <c r="I8" s="279"/>
      <c r="J8" s="285">
        <v>658333</v>
      </c>
      <c r="K8" s="290">
        <f t="shared" si="11"/>
        <v>8334</v>
      </c>
      <c r="L8" s="296">
        <f>'[1]資料5.減価償却費個別内訳'!C8</f>
        <v>201200</v>
      </c>
      <c r="M8" s="300">
        <f t="shared" si="12"/>
        <v>209534</v>
      </c>
      <c r="N8" s="305">
        <f t="shared" si="13"/>
        <v>130466</v>
      </c>
      <c r="O8" s="271" t="str">
        <f>'資料1.参加者及び面積'!I5</f>
        <v>邑南集落</v>
      </c>
      <c r="Q8" s="315">
        <v>3</v>
      </c>
      <c r="R8" s="237" t="str">
        <f>収支報告書!$B56</f>
        <v>布施一郎</v>
      </c>
      <c r="S8" s="326">
        <f>収支報告書!$G56</f>
        <v>42000</v>
      </c>
      <c r="T8" s="333">
        <f>収支報告書!$K56</f>
        <v>294000</v>
      </c>
      <c r="U8" s="333">
        <f t="shared" si="1"/>
        <v>336000</v>
      </c>
      <c r="V8" s="343">
        <f>'資料3.個人の所得内訳'!$C9</f>
        <v>4000</v>
      </c>
      <c r="W8" s="271">
        <f t="shared" si="2"/>
        <v>340000</v>
      </c>
      <c r="X8" s="326">
        <f>収支報告書!N56</f>
        <v>666667</v>
      </c>
      <c r="Y8" s="354">
        <f>INT('資料2.内訳'!$K$52*X8/$X$5)</f>
        <v>0</v>
      </c>
      <c r="Z8" s="333"/>
      <c r="AA8" s="354">
        <f t="shared" si="3"/>
        <v>666667</v>
      </c>
      <c r="AB8" s="332">
        <f>'資料4.減価償却内訳'!$Y9</f>
        <v>201200</v>
      </c>
      <c r="AC8" s="367">
        <f t="shared" si="4"/>
        <v>867867</v>
      </c>
      <c r="AD8" s="305">
        <f t="shared" si="5"/>
        <v>-527867</v>
      </c>
      <c r="AE8" s="271" t="str">
        <f>IF(ISBLANK('資料1.参加者及び面積'!I5),"",'資料1.参加者及び面積'!I5)</f>
        <v>邑南集落</v>
      </c>
      <c r="AG8" s="1">
        <f>IF('資料2.内訳'!$K$52-$Y$5-SUM($AG$6:AG7)&gt;0,1,0)</f>
        <v>0</v>
      </c>
    </row>
    <row r="9" spans="1:33" ht="26.25" customHeight="1">
      <c r="A9" s="228">
        <v>4</v>
      </c>
      <c r="B9" s="236" t="str">
        <f t="shared" si="6"/>
        <v>高原二郎</v>
      </c>
      <c r="C9" s="245">
        <f t="shared" si="6"/>
        <v>42000</v>
      </c>
      <c r="D9" s="252">
        <f t="shared" si="6"/>
        <v>294000</v>
      </c>
      <c r="E9" s="258">
        <f t="shared" si="7"/>
        <v>336000</v>
      </c>
      <c r="F9" s="264">
        <f t="shared" si="8"/>
        <v>4000</v>
      </c>
      <c r="G9" s="271">
        <f t="shared" si="9"/>
        <v>340000</v>
      </c>
      <c r="H9" s="245">
        <f t="shared" si="10"/>
        <v>666667</v>
      </c>
      <c r="I9" s="279"/>
      <c r="J9" s="285">
        <v>658333</v>
      </c>
      <c r="K9" s="290">
        <f t="shared" si="11"/>
        <v>8334</v>
      </c>
      <c r="L9" s="296">
        <f>'[1]資料5.減価償却費個別内訳'!C9</f>
        <v>201200</v>
      </c>
      <c r="M9" s="300">
        <f t="shared" si="12"/>
        <v>209534</v>
      </c>
      <c r="N9" s="305">
        <f t="shared" si="13"/>
        <v>130466</v>
      </c>
      <c r="O9" s="300" t="str">
        <f>'資料1.参加者及び面積'!I6</f>
        <v>邑南集落</v>
      </c>
      <c r="Q9" s="315">
        <v>4</v>
      </c>
      <c r="R9" s="237" t="str">
        <f>収支報告書!$B57</f>
        <v>高原二郎</v>
      </c>
      <c r="S9" s="326">
        <f>収支報告書!$G57</f>
        <v>42000</v>
      </c>
      <c r="T9" s="333">
        <f>収支報告書!$K57</f>
        <v>294000</v>
      </c>
      <c r="U9" s="333">
        <f t="shared" si="1"/>
        <v>336000</v>
      </c>
      <c r="V9" s="343">
        <f>'資料3.個人の所得内訳'!$C10</f>
        <v>4000</v>
      </c>
      <c r="W9" s="271">
        <f t="shared" si="2"/>
        <v>340000</v>
      </c>
      <c r="X9" s="326">
        <f>収支報告書!N57</f>
        <v>666667</v>
      </c>
      <c r="Y9" s="354">
        <f>INT('資料2.内訳'!$K$52*X9/$X$5)</f>
        <v>0</v>
      </c>
      <c r="Z9" s="333"/>
      <c r="AA9" s="354">
        <f t="shared" si="3"/>
        <v>666667</v>
      </c>
      <c r="AB9" s="332">
        <f>'資料4.減価償却内訳'!$Y10</f>
        <v>201200</v>
      </c>
      <c r="AC9" s="367">
        <f t="shared" si="4"/>
        <v>867867</v>
      </c>
      <c r="AD9" s="305">
        <f t="shared" si="5"/>
        <v>-527867</v>
      </c>
      <c r="AE9" s="271" t="str">
        <f>IF(ISBLANK('資料1.参加者及び面積'!I6),"",'資料1.参加者及び面積'!I6)</f>
        <v>邑南集落</v>
      </c>
      <c r="AG9" s="1">
        <f>IF('資料2.内訳'!$K$52-$Y$5-SUM($AG$6:AG8)&gt;0,1,0)</f>
        <v>0</v>
      </c>
    </row>
    <row r="10" spans="1:33" ht="26.25" customHeight="1">
      <c r="A10" s="228">
        <v>5</v>
      </c>
      <c r="B10" s="236" t="str">
        <f t="shared" si="6"/>
        <v>出羽三郎</v>
      </c>
      <c r="C10" s="245">
        <f t="shared" si="6"/>
        <v>42000</v>
      </c>
      <c r="D10" s="252">
        <f t="shared" si="6"/>
        <v>294000</v>
      </c>
      <c r="E10" s="258">
        <f t="shared" si="7"/>
        <v>336000</v>
      </c>
      <c r="F10" s="264">
        <f t="shared" si="8"/>
        <v>2000</v>
      </c>
      <c r="G10" s="271">
        <f t="shared" si="9"/>
        <v>338000</v>
      </c>
      <c r="H10" s="245">
        <f t="shared" si="10"/>
        <v>666667</v>
      </c>
      <c r="I10" s="279"/>
      <c r="J10" s="285">
        <v>658333</v>
      </c>
      <c r="K10" s="290">
        <f t="shared" si="11"/>
        <v>8334</v>
      </c>
      <c r="L10" s="296">
        <f>'[1]資料5.減価償却費個別内訳'!C10</f>
        <v>201200</v>
      </c>
      <c r="M10" s="300">
        <f t="shared" si="12"/>
        <v>209534</v>
      </c>
      <c r="N10" s="305">
        <f t="shared" si="13"/>
        <v>128466</v>
      </c>
      <c r="O10" s="271" t="str">
        <f>'資料1.参加者及び面積'!I7</f>
        <v>邑南集落</v>
      </c>
      <c r="Q10" s="315">
        <v>5</v>
      </c>
      <c r="R10" s="237" t="str">
        <f>収支報告書!$B58</f>
        <v>出羽三郎</v>
      </c>
      <c r="S10" s="326">
        <f>収支報告書!$G58</f>
        <v>42000</v>
      </c>
      <c r="T10" s="333">
        <f>収支報告書!$K58</f>
        <v>294000</v>
      </c>
      <c r="U10" s="333">
        <f t="shared" si="1"/>
        <v>336000</v>
      </c>
      <c r="V10" s="343">
        <f>'資料3.個人の所得内訳'!$C11</f>
        <v>2000</v>
      </c>
      <c r="W10" s="271">
        <f t="shared" si="2"/>
        <v>338000</v>
      </c>
      <c r="X10" s="326">
        <f>収支報告書!N58</f>
        <v>666667</v>
      </c>
      <c r="Y10" s="354">
        <f>INT('資料2.内訳'!$K$52*X10/$X$5)</f>
        <v>0</v>
      </c>
      <c r="Z10" s="333"/>
      <c r="AA10" s="354">
        <f t="shared" si="3"/>
        <v>666667</v>
      </c>
      <c r="AB10" s="332">
        <f>'資料4.減価償却内訳'!$Y11</f>
        <v>201200</v>
      </c>
      <c r="AC10" s="367">
        <f t="shared" si="4"/>
        <v>867867</v>
      </c>
      <c r="AD10" s="305">
        <f t="shared" si="5"/>
        <v>-529867</v>
      </c>
      <c r="AE10" s="271" t="str">
        <f>IF(ISBLANK('資料1.参加者及び面積'!I7),"",'資料1.参加者及び面積'!I7)</f>
        <v>邑南集落</v>
      </c>
      <c r="AG10" s="1">
        <f>IF('資料2.内訳'!$K$52-$Y$5-SUM($AG$6:AG9)&gt;0,1,0)</f>
        <v>0</v>
      </c>
    </row>
    <row r="11" spans="1:33" ht="26.25" customHeight="1">
      <c r="A11" s="228">
        <v>6</v>
      </c>
      <c r="B11" s="236" t="str">
        <f t="shared" si="6"/>
        <v>田所四郎</v>
      </c>
      <c r="C11" s="245">
        <f t="shared" si="6"/>
        <v>84000</v>
      </c>
      <c r="D11" s="252">
        <f t="shared" si="6"/>
        <v>294000</v>
      </c>
      <c r="E11" s="258">
        <f t="shared" si="7"/>
        <v>378000</v>
      </c>
      <c r="F11" s="264">
        <f t="shared" si="8"/>
        <v>2000</v>
      </c>
      <c r="G11" s="271">
        <f t="shared" si="9"/>
        <v>380000</v>
      </c>
      <c r="H11" s="245">
        <f t="shared" si="10"/>
        <v>666667</v>
      </c>
      <c r="I11" s="279"/>
      <c r="J11" s="285">
        <v>658333</v>
      </c>
      <c r="K11" s="290">
        <f t="shared" si="11"/>
        <v>8334</v>
      </c>
      <c r="L11" s="296">
        <f>'[1]資料5.減価償却費個別内訳'!C11</f>
        <v>201200</v>
      </c>
      <c r="M11" s="300">
        <f t="shared" si="12"/>
        <v>209534</v>
      </c>
      <c r="N11" s="305">
        <f t="shared" si="13"/>
        <v>170466</v>
      </c>
      <c r="O11" s="271" t="str">
        <f>'資料1.参加者及び面積'!I8</f>
        <v>邑南集落</v>
      </c>
      <c r="Q11" s="315">
        <v>6</v>
      </c>
      <c r="R11" s="237" t="str">
        <f>収支報告書!$B59</f>
        <v>田所四郎</v>
      </c>
      <c r="S11" s="326">
        <f>収支報告書!$G59</f>
        <v>84000</v>
      </c>
      <c r="T11" s="333">
        <f>収支報告書!$K59</f>
        <v>294000</v>
      </c>
      <c r="U11" s="333">
        <f t="shared" si="1"/>
        <v>378000</v>
      </c>
      <c r="V11" s="343">
        <f>'資料3.個人の所得内訳'!$C12</f>
        <v>2000</v>
      </c>
      <c r="W11" s="271">
        <f t="shared" si="2"/>
        <v>380000</v>
      </c>
      <c r="X11" s="326">
        <f>収支報告書!N59</f>
        <v>666667</v>
      </c>
      <c r="Y11" s="354">
        <f>INT('資料2.内訳'!$K$52*X11/$X$5)</f>
        <v>0</v>
      </c>
      <c r="Z11" s="333"/>
      <c r="AA11" s="354">
        <f t="shared" si="3"/>
        <v>666667</v>
      </c>
      <c r="AB11" s="332">
        <f>'資料4.減価償却内訳'!$Y12</f>
        <v>201200</v>
      </c>
      <c r="AC11" s="367">
        <f t="shared" si="4"/>
        <v>867867</v>
      </c>
      <c r="AD11" s="305">
        <f t="shared" si="5"/>
        <v>-487867</v>
      </c>
      <c r="AE11" s="271" t="str">
        <f>IF(ISBLANK('資料1.参加者及び面積'!I8),"",'資料1.参加者及び面積'!I8)</f>
        <v>邑南集落</v>
      </c>
      <c r="AG11" s="1">
        <f>IF('資料2.内訳'!$K$52-$Y$5-SUM($AG$6:AG10)&gt;0,1,0)</f>
        <v>0</v>
      </c>
    </row>
    <row r="12" spans="1:33" ht="26.25" customHeight="1">
      <c r="A12" s="228">
        <v>7</v>
      </c>
      <c r="B12" s="236" t="str">
        <f t="shared" si="6"/>
        <v>市木五郎</v>
      </c>
      <c r="C12" s="245">
        <f t="shared" si="6"/>
        <v>84000</v>
      </c>
      <c r="D12" s="252">
        <f t="shared" si="6"/>
        <v>294000</v>
      </c>
      <c r="E12" s="258">
        <f t="shared" si="7"/>
        <v>378000</v>
      </c>
      <c r="F12" s="264">
        <f t="shared" si="8"/>
        <v>2000</v>
      </c>
      <c r="G12" s="271">
        <f t="shared" si="9"/>
        <v>380000</v>
      </c>
      <c r="H12" s="245">
        <f t="shared" si="10"/>
        <v>666667</v>
      </c>
      <c r="I12" s="279"/>
      <c r="J12" s="285">
        <v>658333</v>
      </c>
      <c r="K12" s="290">
        <f t="shared" si="11"/>
        <v>8334</v>
      </c>
      <c r="L12" s="296">
        <f>'[1]資料5.減価償却費個別内訳'!C12</f>
        <v>201200</v>
      </c>
      <c r="M12" s="300">
        <f t="shared" si="12"/>
        <v>209534</v>
      </c>
      <c r="N12" s="305">
        <f t="shared" si="13"/>
        <v>170466</v>
      </c>
      <c r="O12" s="300" t="str">
        <f>'資料1.参加者及び面積'!I9</f>
        <v>邑南集落</v>
      </c>
      <c r="Q12" s="315">
        <v>7</v>
      </c>
      <c r="R12" s="237" t="str">
        <f>収支報告書!$B60</f>
        <v>市木五郎</v>
      </c>
      <c r="S12" s="326">
        <f>収支報告書!$G60</f>
        <v>84000</v>
      </c>
      <c r="T12" s="333">
        <f>収支報告書!$K60</f>
        <v>294000</v>
      </c>
      <c r="U12" s="333">
        <f t="shared" si="1"/>
        <v>378000</v>
      </c>
      <c r="V12" s="343">
        <f>'資料3.個人の所得内訳'!$C13</f>
        <v>2000</v>
      </c>
      <c r="W12" s="271">
        <f t="shared" si="2"/>
        <v>380000</v>
      </c>
      <c r="X12" s="326">
        <f>収支報告書!N60</f>
        <v>666667</v>
      </c>
      <c r="Y12" s="354">
        <f>INT('資料2.内訳'!$K$52*X12/$X$5)</f>
        <v>0</v>
      </c>
      <c r="Z12" s="333"/>
      <c r="AA12" s="354">
        <f t="shared" si="3"/>
        <v>666667</v>
      </c>
      <c r="AB12" s="332">
        <f>'資料4.減価償却内訳'!$Y13</f>
        <v>201200</v>
      </c>
      <c r="AC12" s="367">
        <f t="shared" si="4"/>
        <v>867867</v>
      </c>
      <c r="AD12" s="305">
        <f t="shared" si="5"/>
        <v>-487867</v>
      </c>
      <c r="AE12" s="271" t="str">
        <f>IF(ISBLANK('資料1.参加者及び面積'!I9),"",'資料1.参加者及び面積'!I9)</f>
        <v>邑南集落</v>
      </c>
      <c r="AG12" s="1">
        <f>IF('資料2.内訳'!$K$52-$Y$5-SUM($AG$6:AG11)&gt;0,1,0)</f>
        <v>0</v>
      </c>
    </row>
    <row r="13" spans="1:33" ht="26.25" customHeight="1">
      <c r="A13" s="228">
        <v>8</v>
      </c>
      <c r="B13" s="236" t="str">
        <f t="shared" si="6"/>
        <v>井原六郎</v>
      </c>
      <c r="C13" s="245">
        <f t="shared" si="6"/>
        <v>84000</v>
      </c>
      <c r="D13" s="252">
        <f t="shared" si="6"/>
        <v>294000</v>
      </c>
      <c r="E13" s="258">
        <f t="shared" si="7"/>
        <v>378000</v>
      </c>
      <c r="F13" s="264">
        <f t="shared" si="8"/>
        <v>4000</v>
      </c>
      <c r="G13" s="271">
        <f t="shared" si="9"/>
        <v>382000</v>
      </c>
      <c r="H13" s="245">
        <f t="shared" si="10"/>
        <v>666667</v>
      </c>
      <c r="I13" s="279"/>
      <c r="J13" s="285">
        <v>658333</v>
      </c>
      <c r="K13" s="290">
        <f t="shared" si="11"/>
        <v>8334</v>
      </c>
      <c r="L13" s="296">
        <f>'[1]資料5.減価償却費個別内訳'!C13</f>
        <v>201200</v>
      </c>
      <c r="M13" s="300">
        <f t="shared" si="12"/>
        <v>209534</v>
      </c>
      <c r="N13" s="305">
        <f t="shared" si="13"/>
        <v>172466</v>
      </c>
      <c r="O13" s="271" t="str">
        <f>'資料1.参加者及び面積'!I10</f>
        <v>邑南集落</v>
      </c>
      <c r="Q13" s="315">
        <v>8</v>
      </c>
      <c r="R13" s="237" t="str">
        <f>収支報告書!$B61</f>
        <v>井原六郎</v>
      </c>
      <c r="S13" s="326">
        <f>収支報告書!$G61</f>
        <v>84000</v>
      </c>
      <c r="T13" s="333">
        <f>収支報告書!$K61</f>
        <v>294000</v>
      </c>
      <c r="U13" s="333">
        <f t="shared" si="1"/>
        <v>378000</v>
      </c>
      <c r="V13" s="343">
        <f>'資料3.個人の所得内訳'!$C14</f>
        <v>4000</v>
      </c>
      <c r="W13" s="271">
        <f t="shared" si="2"/>
        <v>382000</v>
      </c>
      <c r="X13" s="326">
        <f>収支報告書!N61</f>
        <v>666667</v>
      </c>
      <c r="Y13" s="354">
        <f>INT('資料2.内訳'!$K$52*X13/$X$5)</f>
        <v>0</v>
      </c>
      <c r="Z13" s="333"/>
      <c r="AA13" s="354">
        <f t="shared" si="3"/>
        <v>666667</v>
      </c>
      <c r="AB13" s="332">
        <f>'資料4.減価償却内訳'!$Y14</f>
        <v>201200</v>
      </c>
      <c r="AC13" s="367">
        <f t="shared" si="4"/>
        <v>867867</v>
      </c>
      <c r="AD13" s="305">
        <f t="shared" si="5"/>
        <v>-485867</v>
      </c>
      <c r="AE13" s="271" t="str">
        <f>IF(ISBLANK('資料1.参加者及び面積'!I10),"",'資料1.参加者及び面積'!I10)</f>
        <v>邑南集落</v>
      </c>
      <c r="AG13" s="1">
        <f>IF('資料2.内訳'!$K$52-$Y$5-SUM($AG$6:AG12)&gt;0,1,0)</f>
        <v>0</v>
      </c>
    </row>
    <row r="14" spans="1:33" ht="26.25" customHeight="1">
      <c r="A14" s="228">
        <v>9</v>
      </c>
      <c r="B14" s="236" t="str">
        <f t="shared" si="6"/>
        <v>中野七郎</v>
      </c>
      <c r="C14" s="245">
        <f t="shared" si="6"/>
        <v>84000</v>
      </c>
      <c r="D14" s="252">
        <f t="shared" si="6"/>
        <v>294000</v>
      </c>
      <c r="E14" s="258">
        <f t="shared" si="7"/>
        <v>378000</v>
      </c>
      <c r="F14" s="264">
        <f t="shared" si="8"/>
        <v>3000</v>
      </c>
      <c r="G14" s="271">
        <f t="shared" si="9"/>
        <v>381000</v>
      </c>
      <c r="H14" s="245">
        <f t="shared" si="10"/>
        <v>666666</v>
      </c>
      <c r="I14" s="279"/>
      <c r="J14" s="285">
        <v>658334</v>
      </c>
      <c r="K14" s="290">
        <f t="shared" si="11"/>
        <v>8332</v>
      </c>
      <c r="L14" s="296">
        <f>'[1]資料5.減価償却費個別内訳'!C14</f>
        <v>201200</v>
      </c>
      <c r="M14" s="300">
        <f t="shared" si="12"/>
        <v>209532</v>
      </c>
      <c r="N14" s="305">
        <f t="shared" si="13"/>
        <v>171468</v>
      </c>
      <c r="O14" s="271" t="str">
        <f>'資料1.参加者及び面積'!I11</f>
        <v>邑南集落</v>
      </c>
      <c r="Q14" s="315">
        <v>9</v>
      </c>
      <c r="R14" s="237" t="str">
        <f>収支報告書!$B62</f>
        <v>中野七郎</v>
      </c>
      <c r="S14" s="326">
        <f>収支報告書!$G62</f>
        <v>84000</v>
      </c>
      <c r="T14" s="333">
        <f>収支報告書!$K62</f>
        <v>294000</v>
      </c>
      <c r="U14" s="333">
        <f t="shared" si="1"/>
        <v>378000</v>
      </c>
      <c r="V14" s="343">
        <f>'資料3.個人の所得内訳'!$C15</f>
        <v>3000</v>
      </c>
      <c r="W14" s="271">
        <f t="shared" si="2"/>
        <v>381000</v>
      </c>
      <c r="X14" s="326">
        <f>収支報告書!N62</f>
        <v>666666</v>
      </c>
      <c r="Y14" s="354">
        <f>INT('資料2.内訳'!$K$52*X14/$X$5)</f>
        <v>0</v>
      </c>
      <c r="Z14" s="333"/>
      <c r="AA14" s="354">
        <f t="shared" si="3"/>
        <v>666666</v>
      </c>
      <c r="AB14" s="332">
        <f>'資料4.減価償却内訳'!$Y15</f>
        <v>201200</v>
      </c>
      <c r="AC14" s="367">
        <f t="shared" si="4"/>
        <v>867866</v>
      </c>
      <c r="AD14" s="305">
        <f t="shared" si="5"/>
        <v>-486866</v>
      </c>
      <c r="AE14" s="271" t="str">
        <f>IF(ISBLANK('資料1.参加者及び面積'!I11),"",'資料1.参加者及び面積'!I11)</f>
        <v>邑南集落</v>
      </c>
      <c r="AG14" s="1">
        <f>IF('資料2.内訳'!$K$52-$Y$5-SUM($AG$6:AG13)&gt;0,1,0)</f>
        <v>0</v>
      </c>
    </row>
    <row r="15" spans="1:33" ht="26.25" customHeight="1">
      <c r="A15" s="228">
        <v>10</v>
      </c>
      <c r="B15" s="236" t="str">
        <f t="shared" si="6"/>
        <v>矢上八郎</v>
      </c>
      <c r="C15" s="245">
        <f t="shared" si="6"/>
        <v>84000</v>
      </c>
      <c r="D15" s="252">
        <f t="shared" si="6"/>
        <v>294000</v>
      </c>
      <c r="E15" s="258">
        <f t="shared" si="7"/>
        <v>378000</v>
      </c>
      <c r="F15" s="264">
        <f t="shared" si="8"/>
        <v>3000</v>
      </c>
      <c r="G15" s="271">
        <f t="shared" si="9"/>
        <v>381000</v>
      </c>
      <c r="H15" s="245">
        <f t="shared" si="10"/>
        <v>666666</v>
      </c>
      <c r="I15" s="279"/>
      <c r="J15" s="285">
        <v>658334</v>
      </c>
      <c r="K15" s="290">
        <f t="shared" si="11"/>
        <v>8332</v>
      </c>
      <c r="L15" s="296">
        <f>'[1]資料5.減価償却費個別内訳'!C15</f>
        <v>201200</v>
      </c>
      <c r="M15" s="300">
        <f t="shared" si="12"/>
        <v>209532</v>
      </c>
      <c r="N15" s="305">
        <f t="shared" si="13"/>
        <v>171468</v>
      </c>
      <c r="O15" s="300" t="str">
        <f>'資料1.参加者及び面積'!I12</f>
        <v>邑南集落</v>
      </c>
      <c r="Q15" s="315">
        <v>10</v>
      </c>
      <c r="R15" s="237" t="str">
        <f>収支報告書!$B63</f>
        <v>矢上八郎</v>
      </c>
      <c r="S15" s="326">
        <f>収支報告書!$G63</f>
        <v>84000</v>
      </c>
      <c r="T15" s="333">
        <f>収支報告書!$K63</f>
        <v>294000</v>
      </c>
      <c r="U15" s="333">
        <f t="shared" si="1"/>
        <v>378000</v>
      </c>
      <c r="V15" s="343">
        <f>'資料3.個人の所得内訳'!$C16</f>
        <v>3000</v>
      </c>
      <c r="W15" s="271">
        <f t="shared" si="2"/>
        <v>381000</v>
      </c>
      <c r="X15" s="326">
        <f>収支報告書!N63</f>
        <v>666666</v>
      </c>
      <c r="Y15" s="354">
        <f>INT('資料2.内訳'!$K$52*X15/$X$5)</f>
        <v>0</v>
      </c>
      <c r="Z15" s="333"/>
      <c r="AA15" s="354">
        <f t="shared" si="3"/>
        <v>666666</v>
      </c>
      <c r="AB15" s="332">
        <f>'資料4.減価償却内訳'!$Y16</f>
        <v>201200</v>
      </c>
      <c r="AC15" s="367">
        <f t="shared" si="4"/>
        <v>867866</v>
      </c>
      <c r="AD15" s="305">
        <f t="shared" si="5"/>
        <v>-486866</v>
      </c>
      <c r="AE15" s="271" t="str">
        <f>IF(ISBLANK('資料1.参加者及び面積'!I12),"",'資料1.参加者及び面積'!I12)</f>
        <v>邑南集落</v>
      </c>
      <c r="AG15" s="1">
        <f>IF('資料2.内訳'!$K$52-$Y$5-SUM($AG$6:AG14)&gt;0,1,0)</f>
        <v>0</v>
      </c>
    </row>
    <row r="16" spans="1:33" ht="26.25" customHeight="1">
      <c r="A16" s="228">
        <v>11</v>
      </c>
      <c r="B16" s="236" t="str">
        <f t="shared" si="6"/>
        <v>日和九郎</v>
      </c>
      <c r="C16" s="245">
        <f t="shared" si="6"/>
        <v>126000</v>
      </c>
      <c r="D16" s="252">
        <f t="shared" si="6"/>
        <v>294000</v>
      </c>
      <c r="E16" s="258">
        <f t="shared" si="7"/>
        <v>420000</v>
      </c>
      <c r="F16" s="264">
        <f t="shared" si="8"/>
        <v>1000</v>
      </c>
      <c r="G16" s="271">
        <f t="shared" si="9"/>
        <v>421000</v>
      </c>
      <c r="H16" s="245">
        <f t="shared" si="10"/>
        <v>666666</v>
      </c>
      <c r="I16" s="279"/>
      <c r="J16" s="285">
        <v>658334</v>
      </c>
      <c r="K16" s="290">
        <f t="shared" si="11"/>
        <v>8332</v>
      </c>
      <c r="L16" s="296">
        <f>'[1]資料5.減価償却費個別内訳'!C16</f>
        <v>201200</v>
      </c>
      <c r="M16" s="300">
        <f t="shared" si="12"/>
        <v>209532</v>
      </c>
      <c r="N16" s="305">
        <f t="shared" si="13"/>
        <v>211468</v>
      </c>
      <c r="O16" s="271" t="str">
        <f>'資料1.参加者及び面積'!I13</f>
        <v>邑南集落</v>
      </c>
      <c r="Q16" s="315">
        <v>11</v>
      </c>
      <c r="R16" s="237" t="str">
        <f>収支報告書!$B64</f>
        <v>日和九郎</v>
      </c>
      <c r="S16" s="326">
        <f>収支報告書!$G64</f>
        <v>126000</v>
      </c>
      <c r="T16" s="333">
        <f>収支報告書!$K64</f>
        <v>294000</v>
      </c>
      <c r="U16" s="333">
        <f t="shared" si="1"/>
        <v>420000</v>
      </c>
      <c r="V16" s="343">
        <f>'資料3.個人の所得内訳'!$C17</f>
        <v>1000</v>
      </c>
      <c r="W16" s="271">
        <f t="shared" si="2"/>
        <v>421000</v>
      </c>
      <c r="X16" s="326">
        <f>収支報告書!N64</f>
        <v>666666</v>
      </c>
      <c r="Y16" s="354">
        <f>INT('資料2.内訳'!$K$52*X16/$X$5)</f>
        <v>0</v>
      </c>
      <c r="Z16" s="333"/>
      <c r="AA16" s="354">
        <f t="shared" si="3"/>
        <v>666666</v>
      </c>
      <c r="AB16" s="332">
        <f>'資料4.減価償却内訳'!$Y17</f>
        <v>201200</v>
      </c>
      <c r="AC16" s="367">
        <f t="shared" si="4"/>
        <v>867866</v>
      </c>
      <c r="AD16" s="305">
        <f t="shared" si="5"/>
        <v>-446866</v>
      </c>
      <c r="AE16" s="271" t="str">
        <f>IF(ISBLANK('資料1.参加者及び面積'!I13),"",'資料1.参加者及び面積'!I13)</f>
        <v>邑南集落</v>
      </c>
      <c r="AG16" s="1">
        <f>IF('資料2.内訳'!$K$52-$Y$5-SUM($AG$6:AG15)&gt;0,1,0)</f>
        <v>0</v>
      </c>
    </row>
    <row r="17" spans="1:33" ht="26.25" customHeight="1">
      <c r="A17" s="228">
        <v>12</v>
      </c>
      <c r="B17" s="236" t="str">
        <f t="shared" si="6"/>
        <v>日貫十兵衛</v>
      </c>
      <c r="C17" s="245">
        <f t="shared" si="6"/>
        <v>126000</v>
      </c>
      <c r="D17" s="252">
        <f t="shared" si="6"/>
        <v>294000</v>
      </c>
      <c r="E17" s="258">
        <f t="shared" si="7"/>
        <v>420000</v>
      </c>
      <c r="F17" s="264">
        <f t="shared" si="8"/>
        <v>3000</v>
      </c>
      <c r="G17" s="271">
        <f t="shared" si="9"/>
        <v>423000</v>
      </c>
      <c r="H17" s="245">
        <f t="shared" si="10"/>
        <v>666666</v>
      </c>
      <c r="I17" s="279"/>
      <c r="J17" s="285">
        <v>658334</v>
      </c>
      <c r="K17" s="290">
        <f t="shared" si="11"/>
        <v>8332</v>
      </c>
      <c r="L17" s="296">
        <f>'[1]資料5.減価償却費個別内訳'!C17</f>
        <v>201200</v>
      </c>
      <c r="M17" s="300">
        <f t="shared" si="12"/>
        <v>209532</v>
      </c>
      <c r="N17" s="305">
        <f t="shared" si="13"/>
        <v>213468</v>
      </c>
      <c r="O17" s="271" t="str">
        <f>'資料1.参加者及び面積'!I14</f>
        <v>邑南集落</v>
      </c>
      <c r="Q17" s="315">
        <v>12</v>
      </c>
      <c r="R17" s="237" t="str">
        <f>収支報告書!$B65</f>
        <v>日貫十兵衛</v>
      </c>
      <c r="S17" s="326">
        <f>収支報告書!$G65</f>
        <v>126000</v>
      </c>
      <c r="T17" s="333">
        <f>収支報告書!$K65</f>
        <v>294000</v>
      </c>
      <c r="U17" s="333">
        <f t="shared" si="1"/>
        <v>420000</v>
      </c>
      <c r="V17" s="343">
        <f>'資料3.個人の所得内訳'!$C18</f>
        <v>3000</v>
      </c>
      <c r="W17" s="271">
        <f t="shared" si="2"/>
        <v>423000</v>
      </c>
      <c r="X17" s="326">
        <f>収支報告書!N65</f>
        <v>666666</v>
      </c>
      <c r="Y17" s="354">
        <f>INT('資料2.内訳'!$K$52*X17/$X$5)</f>
        <v>0</v>
      </c>
      <c r="Z17" s="333"/>
      <c r="AA17" s="354">
        <f t="shared" si="3"/>
        <v>666666</v>
      </c>
      <c r="AB17" s="332">
        <f>'資料4.減価償却内訳'!$Y18</f>
        <v>201200</v>
      </c>
      <c r="AC17" s="367">
        <f t="shared" si="4"/>
        <v>867866</v>
      </c>
      <c r="AD17" s="305">
        <f t="shared" si="5"/>
        <v>-444866</v>
      </c>
      <c r="AE17" s="271" t="str">
        <f>IF(ISBLANK('資料1.参加者及び面積'!I14),"",'資料1.参加者及び面積'!I14)</f>
        <v>邑南集落</v>
      </c>
      <c r="AG17" s="1">
        <f>IF('資料2.内訳'!$K$52-$Y$5-SUM($AG$6:AG16)&gt;0,1,0)</f>
        <v>0</v>
      </c>
    </row>
    <row r="18" spans="1:33" ht="26.25" customHeight="1">
      <c r="A18" s="228">
        <v>13</v>
      </c>
      <c r="B18" s="236">
        <f t="shared" si="6"/>
        <v>0</v>
      </c>
      <c r="C18" s="245">
        <f t="shared" si="6"/>
        <v>0</v>
      </c>
      <c r="D18" s="252" t="str">
        <f t="shared" si="6"/>
        <v/>
      </c>
      <c r="E18" s="258" t="str">
        <f t="shared" si="7"/>
        <v/>
      </c>
      <c r="F18" s="264">
        <f t="shared" si="8"/>
        <v>0</v>
      </c>
      <c r="G18" s="271" t="str">
        <f t="shared" si="9"/>
        <v/>
      </c>
      <c r="H18" s="245" t="str">
        <f t="shared" si="10"/>
        <v/>
      </c>
      <c r="I18" s="279"/>
      <c r="J18" s="285"/>
      <c r="K18" s="290" t="str">
        <f t="shared" si="11"/>
        <v/>
      </c>
      <c r="L18" s="296">
        <f>'[1]資料5.減価償却費個別内訳'!C18</f>
        <v>0</v>
      </c>
      <c r="M18" s="300" t="str">
        <f t="shared" si="12"/>
        <v/>
      </c>
      <c r="N18" s="305" t="str">
        <f t="shared" si="13"/>
        <v/>
      </c>
      <c r="O18" s="300">
        <f>'資料1.参加者及び面積'!I15</f>
        <v>0</v>
      </c>
      <c r="Q18" s="315">
        <v>13</v>
      </c>
      <c r="R18" s="237">
        <f>収支報告書!$B66</f>
        <v>0</v>
      </c>
      <c r="S18" s="326">
        <f>収支報告書!$G66</f>
        <v>0</v>
      </c>
      <c r="T18" s="333" t="str">
        <f>収支報告書!$K66</f>
        <v/>
      </c>
      <c r="U18" s="333" t="e">
        <f t="shared" si="1"/>
        <v>#VALUE!</v>
      </c>
      <c r="V18" s="343">
        <f>'資料3.個人の所得内訳'!$C19</f>
        <v>0</v>
      </c>
      <c r="W18" s="271" t="e">
        <f t="shared" si="2"/>
        <v>#VALUE!</v>
      </c>
      <c r="X18" s="326" t="str">
        <f>収支報告書!N66</f>
        <v/>
      </c>
      <c r="Y18" s="354" t="e">
        <f>INT('資料2.内訳'!$K$52*X18/$X$5)</f>
        <v>#VALUE!</v>
      </c>
      <c r="Z18" s="333"/>
      <c r="AA18" s="354" t="e">
        <f t="shared" si="3"/>
        <v>#VALUE!</v>
      </c>
      <c r="AB18" s="332">
        <f>'資料4.減価償却内訳'!$Y19</f>
        <v>0</v>
      </c>
      <c r="AC18" s="367" t="e">
        <f t="shared" si="4"/>
        <v>#VALUE!</v>
      </c>
      <c r="AD18" s="305" t="e">
        <f t="shared" si="5"/>
        <v>#VALUE!</v>
      </c>
      <c r="AE18" s="271" t="str">
        <f>IF(ISBLANK('資料1.参加者及び面積'!I15),"",'資料1.参加者及び面積'!I15)</f>
        <v/>
      </c>
      <c r="AG18" s="1">
        <f>IF('資料2.内訳'!$K$52-$Y$5-SUM($AG$6:AG17)&gt;0,1,0)</f>
        <v>0</v>
      </c>
    </row>
    <row r="19" spans="1:33" ht="26.25" customHeight="1">
      <c r="A19" s="228">
        <v>14</v>
      </c>
      <c r="B19" s="236">
        <f t="shared" si="6"/>
        <v>0</v>
      </c>
      <c r="C19" s="245">
        <f t="shared" si="6"/>
        <v>0</v>
      </c>
      <c r="D19" s="252" t="str">
        <f t="shared" si="6"/>
        <v/>
      </c>
      <c r="E19" s="258" t="str">
        <f t="shared" si="7"/>
        <v/>
      </c>
      <c r="F19" s="264">
        <f t="shared" si="8"/>
        <v>0</v>
      </c>
      <c r="G19" s="271" t="str">
        <f t="shared" si="9"/>
        <v/>
      </c>
      <c r="H19" s="245" t="str">
        <f t="shared" si="10"/>
        <v/>
      </c>
      <c r="I19" s="279"/>
      <c r="J19" s="285"/>
      <c r="K19" s="290" t="str">
        <f t="shared" si="11"/>
        <v/>
      </c>
      <c r="L19" s="296">
        <f>'[1]資料5.減価償却費個別内訳'!C19</f>
        <v>0</v>
      </c>
      <c r="M19" s="300" t="str">
        <f t="shared" si="12"/>
        <v/>
      </c>
      <c r="N19" s="305" t="str">
        <f t="shared" si="13"/>
        <v/>
      </c>
      <c r="O19" s="271">
        <f>'資料1.参加者及び面積'!I16</f>
        <v>0</v>
      </c>
      <c r="Q19" s="315">
        <v>14</v>
      </c>
      <c r="R19" s="237">
        <f>収支報告書!$B67</f>
        <v>0</v>
      </c>
      <c r="S19" s="326">
        <f>収支報告書!$G67</f>
        <v>0</v>
      </c>
      <c r="T19" s="333" t="str">
        <f>収支報告書!$K67</f>
        <v/>
      </c>
      <c r="U19" s="333" t="e">
        <f t="shared" si="1"/>
        <v>#VALUE!</v>
      </c>
      <c r="V19" s="343">
        <f>'資料3.個人の所得内訳'!$C20</f>
        <v>0</v>
      </c>
      <c r="W19" s="271" t="e">
        <f t="shared" si="2"/>
        <v>#VALUE!</v>
      </c>
      <c r="X19" s="326" t="str">
        <f>収支報告書!N67</f>
        <v/>
      </c>
      <c r="Y19" s="354" t="e">
        <f>INT('資料2.内訳'!$K$52*X19/$X$5)</f>
        <v>#VALUE!</v>
      </c>
      <c r="Z19" s="333"/>
      <c r="AA19" s="354" t="e">
        <f t="shared" si="3"/>
        <v>#VALUE!</v>
      </c>
      <c r="AB19" s="332">
        <f>'資料4.減価償却内訳'!$Y20</f>
        <v>0</v>
      </c>
      <c r="AC19" s="367" t="e">
        <f t="shared" si="4"/>
        <v>#VALUE!</v>
      </c>
      <c r="AD19" s="305" t="e">
        <f t="shared" si="5"/>
        <v>#VALUE!</v>
      </c>
      <c r="AE19" s="271" t="str">
        <f>IF(ISBLANK('資料1.参加者及び面積'!I16),"",'資料1.参加者及び面積'!I16)</f>
        <v/>
      </c>
      <c r="AG19" s="1">
        <f>IF('資料2.内訳'!$K$52-$Y$5-SUM($AG$6:AG18)&gt;0,1,0)</f>
        <v>0</v>
      </c>
    </row>
    <row r="20" spans="1:33" ht="26.25" customHeight="1">
      <c r="A20" s="228">
        <v>15</v>
      </c>
      <c r="B20" s="236">
        <f t="shared" si="6"/>
        <v>0</v>
      </c>
      <c r="C20" s="245">
        <f t="shared" si="6"/>
        <v>0</v>
      </c>
      <c r="D20" s="252" t="str">
        <f t="shared" si="6"/>
        <v/>
      </c>
      <c r="E20" s="258" t="str">
        <f t="shared" si="7"/>
        <v/>
      </c>
      <c r="F20" s="264">
        <f t="shared" si="8"/>
        <v>0</v>
      </c>
      <c r="G20" s="271" t="str">
        <f t="shared" si="9"/>
        <v/>
      </c>
      <c r="H20" s="245" t="str">
        <f t="shared" si="10"/>
        <v/>
      </c>
      <c r="I20" s="279"/>
      <c r="J20" s="285"/>
      <c r="K20" s="290" t="str">
        <f t="shared" si="11"/>
        <v/>
      </c>
      <c r="L20" s="296">
        <f>'[1]資料5.減価償却費個別内訳'!C20</f>
        <v>0</v>
      </c>
      <c r="M20" s="300" t="str">
        <f t="shared" si="12"/>
        <v/>
      </c>
      <c r="N20" s="305" t="str">
        <f t="shared" si="13"/>
        <v/>
      </c>
      <c r="O20" s="271">
        <f>'資料1.参加者及び面積'!I17</f>
        <v>0</v>
      </c>
      <c r="Q20" s="315">
        <v>15</v>
      </c>
      <c r="R20" s="237">
        <f>収支報告書!$B68</f>
        <v>0</v>
      </c>
      <c r="S20" s="326">
        <f>収支報告書!$G68</f>
        <v>0</v>
      </c>
      <c r="T20" s="333" t="str">
        <f>収支報告書!$K68</f>
        <v/>
      </c>
      <c r="U20" s="333" t="e">
        <f t="shared" si="1"/>
        <v>#VALUE!</v>
      </c>
      <c r="V20" s="343">
        <f>'資料3.個人の所得内訳'!$C21</f>
        <v>0</v>
      </c>
      <c r="W20" s="271" t="e">
        <f t="shared" si="2"/>
        <v>#VALUE!</v>
      </c>
      <c r="X20" s="326" t="str">
        <f>収支報告書!N68</f>
        <v/>
      </c>
      <c r="Y20" s="354" t="e">
        <f>INT('資料2.内訳'!$K$52*X20/$X$5)</f>
        <v>#VALUE!</v>
      </c>
      <c r="Z20" s="333"/>
      <c r="AA20" s="354" t="e">
        <f t="shared" si="3"/>
        <v>#VALUE!</v>
      </c>
      <c r="AB20" s="332">
        <f>'資料4.減価償却内訳'!$Y21</f>
        <v>0</v>
      </c>
      <c r="AC20" s="367" t="e">
        <f t="shared" si="4"/>
        <v>#VALUE!</v>
      </c>
      <c r="AD20" s="305" t="e">
        <f t="shared" si="5"/>
        <v>#VALUE!</v>
      </c>
      <c r="AE20" s="271" t="str">
        <f>IF(ISBLANK('資料1.参加者及び面積'!I17),"",'資料1.参加者及び面積'!I17)</f>
        <v/>
      </c>
      <c r="AG20" s="1">
        <f>IF('資料2.内訳'!$K$52-$Y$5-SUM($AG$6:AG19)&gt;0,1,0)</f>
        <v>0</v>
      </c>
    </row>
    <row r="21" spans="1:33" ht="26.25" customHeight="1">
      <c r="A21" s="228">
        <v>16</v>
      </c>
      <c r="B21" s="236">
        <f t="shared" si="6"/>
        <v>0</v>
      </c>
      <c r="C21" s="245">
        <f t="shared" si="6"/>
        <v>0</v>
      </c>
      <c r="D21" s="252" t="str">
        <f t="shared" si="6"/>
        <v/>
      </c>
      <c r="E21" s="258" t="str">
        <f t="shared" si="7"/>
        <v/>
      </c>
      <c r="F21" s="264">
        <f t="shared" si="8"/>
        <v>0</v>
      </c>
      <c r="G21" s="271" t="str">
        <f t="shared" si="9"/>
        <v/>
      </c>
      <c r="H21" s="245" t="str">
        <f t="shared" si="10"/>
        <v/>
      </c>
      <c r="I21" s="279"/>
      <c r="J21" s="285"/>
      <c r="K21" s="290" t="str">
        <f t="shared" si="11"/>
        <v/>
      </c>
      <c r="L21" s="296">
        <f>'[1]資料5.減価償却費個別内訳'!C21</f>
        <v>0</v>
      </c>
      <c r="M21" s="300" t="str">
        <f t="shared" si="12"/>
        <v/>
      </c>
      <c r="N21" s="305" t="str">
        <f t="shared" si="13"/>
        <v/>
      </c>
      <c r="O21" s="300">
        <f>'資料1.参加者及び面積'!I18</f>
        <v>0</v>
      </c>
      <c r="Q21" s="315">
        <v>16</v>
      </c>
      <c r="R21" s="237">
        <f>収支報告書!$B69</f>
        <v>0</v>
      </c>
      <c r="S21" s="326">
        <f>収支報告書!$G69</f>
        <v>0</v>
      </c>
      <c r="T21" s="333" t="str">
        <f>収支報告書!$K69</f>
        <v/>
      </c>
      <c r="U21" s="333" t="e">
        <f t="shared" si="1"/>
        <v>#VALUE!</v>
      </c>
      <c r="V21" s="343">
        <f>'資料3.個人の所得内訳'!$C22</f>
        <v>0</v>
      </c>
      <c r="W21" s="271" t="e">
        <f t="shared" si="2"/>
        <v>#VALUE!</v>
      </c>
      <c r="X21" s="326" t="str">
        <f>収支報告書!N69</f>
        <v/>
      </c>
      <c r="Y21" s="354" t="e">
        <f>INT('資料2.内訳'!$K$52*X21/$X$5)</f>
        <v>#VALUE!</v>
      </c>
      <c r="Z21" s="333"/>
      <c r="AA21" s="354" t="e">
        <f t="shared" si="3"/>
        <v>#VALUE!</v>
      </c>
      <c r="AB21" s="332">
        <f>'資料4.減価償却内訳'!$Y22</f>
        <v>0</v>
      </c>
      <c r="AC21" s="367" t="e">
        <f t="shared" si="4"/>
        <v>#VALUE!</v>
      </c>
      <c r="AD21" s="305" t="e">
        <f t="shared" si="5"/>
        <v>#VALUE!</v>
      </c>
      <c r="AE21" s="271" t="str">
        <f>IF(ISBLANK('資料1.参加者及び面積'!I18),"",'資料1.参加者及び面積'!I18)</f>
        <v/>
      </c>
      <c r="AG21" s="1">
        <f>IF('資料2.内訳'!$K$52-$Y$5-SUM($AG$6:AG20)&gt;0,1,0)</f>
        <v>0</v>
      </c>
    </row>
    <row r="22" spans="1:33" ht="26.25" customHeight="1">
      <c r="A22" s="228">
        <v>17</v>
      </c>
      <c r="B22" s="236">
        <f t="shared" si="6"/>
        <v>0</v>
      </c>
      <c r="C22" s="245">
        <f t="shared" si="6"/>
        <v>0</v>
      </c>
      <c r="D22" s="252" t="str">
        <f t="shared" si="6"/>
        <v/>
      </c>
      <c r="E22" s="258" t="str">
        <f t="shared" si="7"/>
        <v/>
      </c>
      <c r="F22" s="264">
        <f t="shared" si="8"/>
        <v>0</v>
      </c>
      <c r="G22" s="271" t="str">
        <f t="shared" si="9"/>
        <v/>
      </c>
      <c r="H22" s="245" t="str">
        <f t="shared" si="10"/>
        <v/>
      </c>
      <c r="I22" s="279"/>
      <c r="J22" s="285"/>
      <c r="K22" s="290" t="str">
        <f t="shared" si="11"/>
        <v/>
      </c>
      <c r="L22" s="296">
        <f>'[1]資料5.減価償却費個別内訳'!C22</f>
        <v>0</v>
      </c>
      <c r="M22" s="300" t="str">
        <f t="shared" si="12"/>
        <v/>
      </c>
      <c r="N22" s="305" t="str">
        <f t="shared" si="13"/>
        <v/>
      </c>
      <c r="O22" s="271">
        <f>'資料1.参加者及び面積'!I19</f>
        <v>0</v>
      </c>
      <c r="Q22" s="315">
        <v>17</v>
      </c>
      <c r="R22" s="237">
        <f>収支報告書!$B70</f>
        <v>0</v>
      </c>
      <c r="S22" s="326">
        <f>収支報告書!$G70</f>
        <v>0</v>
      </c>
      <c r="T22" s="333" t="str">
        <f>収支報告書!$K70</f>
        <v/>
      </c>
      <c r="U22" s="333" t="e">
        <f t="shared" si="1"/>
        <v>#VALUE!</v>
      </c>
      <c r="V22" s="343">
        <f>'資料3.個人の所得内訳'!$C23</f>
        <v>0</v>
      </c>
      <c r="W22" s="271" t="e">
        <f t="shared" si="2"/>
        <v>#VALUE!</v>
      </c>
      <c r="X22" s="326" t="str">
        <f>収支報告書!N70</f>
        <v/>
      </c>
      <c r="Y22" s="354" t="e">
        <f>INT('資料2.内訳'!$K$52*X22/$X$5)</f>
        <v>#VALUE!</v>
      </c>
      <c r="Z22" s="333"/>
      <c r="AA22" s="354" t="e">
        <f t="shared" si="3"/>
        <v>#VALUE!</v>
      </c>
      <c r="AB22" s="332">
        <f>'資料4.減価償却内訳'!$Y23</f>
        <v>0</v>
      </c>
      <c r="AC22" s="367" t="e">
        <f t="shared" si="4"/>
        <v>#VALUE!</v>
      </c>
      <c r="AD22" s="305" t="e">
        <f t="shared" si="5"/>
        <v>#VALUE!</v>
      </c>
      <c r="AE22" s="271" t="str">
        <f>IF(ISBLANK('資料1.参加者及び面積'!I19),"",'資料1.参加者及び面積'!I19)</f>
        <v/>
      </c>
      <c r="AG22" s="1">
        <f>IF('資料2.内訳'!$K$52-$Y$5-SUM($AG$6:AG21)&gt;0,1,0)</f>
        <v>0</v>
      </c>
    </row>
    <row r="23" spans="1:33" ht="26.25" customHeight="1">
      <c r="A23" s="228">
        <v>18</v>
      </c>
      <c r="B23" s="236">
        <f t="shared" si="6"/>
        <v>0</v>
      </c>
      <c r="C23" s="245">
        <f t="shared" si="6"/>
        <v>0</v>
      </c>
      <c r="D23" s="252" t="str">
        <f t="shared" si="6"/>
        <v/>
      </c>
      <c r="E23" s="258" t="str">
        <f t="shared" si="7"/>
        <v/>
      </c>
      <c r="F23" s="264">
        <f t="shared" si="8"/>
        <v>0</v>
      </c>
      <c r="G23" s="271" t="str">
        <f t="shared" si="9"/>
        <v/>
      </c>
      <c r="H23" s="245" t="str">
        <f t="shared" si="10"/>
        <v/>
      </c>
      <c r="I23" s="279"/>
      <c r="J23" s="285"/>
      <c r="K23" s="290" t="str">
        <f t="shared" si="11"/>
        <v/>
      </c>
      <c r="L23" s="296">
        <f>'[1]資料5.減価償却費個別内訳'!C23</f>
        <v>0</v>
      </c>
      <c r="M23" s="300" t="str">
        <f t="shared" si="12"/>
        <v/>
      </c>
      <c r="N23" s="305" t="str">
        <f t="shared" si="13"/>
        <v/>
      </c>
      <c r="O23" s="271">
        <f>'資料1.参加者及び面積'!I20</f>
        <v>0</v>
      </c>
      <c r="Q23" s="315">
        <v>18</v>
      </c>
      <c r="R23" s="237">
        <f>収支報告書!$B71</f>
        <v>0</v>
      </c>
      <c r="S23" s="326">
        <f>収支報告書!$G71</f>
        <v>0</v>
      </c>
      <c r="T23" s="333" t="str">
        <f>収支報告書!$K71</f>
        <v/>
      </c>
      <c r="U23" s="333" t="e">
        <f t="shared" si="1"/>
        <v>#VALUE!</v>
      </c>
      <c r="V23" s="343">
        <f>'資料3.個人の所得内訳'!$C24</f>
        <v>0</v>
      </c>
      <c r="W23" s="271" t="e">
        <f t="shared" si="2"/>
        <v>#VALUE!</v>
      </c>
      <c r="X23" s="326" t="str">
        <f>収支報告書!N71</f>
        <v/>
      </c>
      <c r="Y23" s="354" t="e">
        <f>INT('資料2.内訳'!$K$52*X23/$X$5)</f>
        <v>#VALUE!</v>
      </c>
      <c r="Z23" s="333"/>
      <c r="AA23" s="354" t="e">
        <f t="shared" si="3"/>
        <v>#VALUE!</v>
      </c>
      <c r="AB23" s="332">
        <f>'資料4.減価償却内訳'!$Y24</f>
        <v>0</v>
      </c>
      <c r="AC23" s="367" t="e">
        <f t="shared" si="4"/>
        <v>#VALUE!</v>
      </c>
      <c r="AD23" s="305" t="e">
        <f t="shared" si="5"/>
        <v>#VALUE!</v>
      </c>
      <c r="AE23" s="271" t="str">
        <f>IF(ISBLANK('資料1.参加者及び面積'!I20),"",'資料1.参加者及び面積'!I20)</f>
        <v/>
      </c>
      <c r="AG23" s="1">
        <f>IF('資料2.内訳'!$K$52-$Y$5-SUM($AG$6:AG22)&gt;0,1,0)</f>
        <v>0</v>
      </c>
    </row>
    <row r="24" spans="1:33" ht="26.25" customHeight="1">
      <c r="A24" s="228">
        <v>19</v>
      </c>
      <c r="B24" s="236">
        <f t="shared" si="6"/>
        <v>0</v>
      </c>
      <c r="C24" s="245">
        <f t="shared" si="6"/>
        <v>0</v>
      </c>
      <c r="D24" s="252" t="str">
        <f t="shared" si="6"/>
        <v/>
      </c>
      <c r="E24" s="258" t="str">
        <f t="shared" si="7"/>
        <v/>
      </c>
      <c r="F24" s="264">
        <f t="shared" si="8"/>
        <v>0</v>
      </c>
      <c r="G24" s="271" t="str">
        <f t="shared" si="9"/>
        <v/>
      </c>
      <c r="H24" s="245" t="str">
        <f t="shared" si="10"/>
        <v/>
      </c>
      <c r="I24" s="279"/>
      <c r="J24" s="285"/>
      <c r="K24" s="290" t="str">
        <f t="shared" si="11"/>
        <v/>
      </c>
      <c r="L24" s="296">
        <f>'[1]資料5.減価償却費個別内訳'!C24</f>
        <v>0</v>
      </c>
      <c r="M24" s="300" t="str">
        <f t="shared" si="12"/>
        <v/>
      </c>
      <c r="N24" s="305" t="str">
        <f t="shared" si="13"/>
        <v/>
      </c>
      <c r="O24" s="300">
        <f>'資料1.参加者及び面積'!I21</f>
        <v>0</v>
      </c>
      <c r="Q24" s="315">
        <v>19</v>
      </c>
      <c r="R24" s="237">
        <f>収支報告書!$B72</f>
        <v>0</v>
      </c>
      <c r="S24" s="326">
        <f>収支報告書!$G72</f>
        <v>0</v>
      </c>
      <c r="T24" s="333" t="str">
        <f>収支報告書!$K72</f>
        <v/>
      </c>
      <c r="U24" s="333" t="e">
        <f t="shared" si="1"/>
        <v>#VALUE!</v>
      </c>
      <c r="V24" s="343">
        <f>'資料3.個人の所得内訳'!$C25</f>
        <v>0</v>
      </c>
      <c r="W24" s="271" t="e">
        <f t="shared" si="2"/>
        <v>#VALUE!</v>
      </c>
      <c r="X24" s="326" t="str">
        <f>収支報告書!N72</f>
        <v/>
      </c>
      <c r="Y24" s="354" t="e">
        <f>INT('資料2.内訳'!$K$52*X24/$X$5)</f>
        <v>#VALUE!</v>
      </c>
      <c r="Z24" s="333"/>
      <c r="AA24" s="354" t="e">
        <f t="shared" si="3"/>
        <v>#VALUE!</v>
      </c>
      <c r="AB24" s="332">
        <f>'資料4.減価償却内訳'!$Y25</f>
        <v>0</v>
      </c>
      <c r="AC24" s="367" t="e">
        <f t="shared" si="4"/>
        <v>#VALUE!</v>
      </c>
      <c r="AD24" s="305" t="e">
        <f t="shared" si="5"/>
        <v>#VALUE!</v>
      </c>
      <c r="AE24" s="271" t="str">
        <f>IF(ISBLANK('資料1.参加者及び面積'!I21),"",'資料1.参加者及び面積'!I21)</f>
        <v/>
      </c>
      <c r="AG24" s="1">
        <f>IF('資料2.内訳'!$K$52-$Y$5-SUM($AG$6:AG23)&gt;0,1,0)</f>
        <v>0</v>
      </c>
    </row>
    <row r="25" spans="1:33" ht="26.25" customHeight="1">
      <c r="A25" s="228">
        <v>20</v>
      </c>
      <c r="B25" s="236">
        <f t="shared" si="6"/>
        <v>0</v>
      </c>
      <c r="C25" s="245">
        <f t="shared" si="6"/>
        <v>0</v>
      </c>
      <c r="D25" s="252" t="str">
        <f t="shared" si="6"/>
        <v/>
      </c>
      <c r="E25" s="258" t="str">
        <f t="shared" si="7"/>
        <v/>
      </c>
      <c r="F25" s="264">
        <f t="shared" si="8"/>
        <v>0</v>
      </c>
      <c r="G25" s="271" t="str">
        <f t="shared" si="9"/>
        <v/>
      </c>
      <c r="H25" s="245" t="str">
        <f t="shared" si="10"/>
        <v/>
      </c>
      <c r="I25" s="279"/>
      <c r="J25" s="285"/>
      <c r="K25" s="290" t="str">
        <f t="shared" si="11"/>
        <v/>
      </c>
      <c r="L25" s="296">
        <f>'[1]資料5.減価償却費個別内訳'!C25</f>
        <v>0</v>
      </c>
      <c r="M25" s="300" t="str">
        <f t="shared" si="12"/>
        <v/>
      </c>
      <c r="N25" s="305" t="str">
        <f t="shared" si="13"/>
        <v/>
      </c>
      <c r="O25" s="271">
        <f>'資料1.参加者及び面積'!I22</f>
        <v>0</v>
      </c>
      <c r="Q25" s="315">
        <v>20</v>
      </c>
      <c r="R25" s="237">
        <f>収支報告書!$B73</f>
        <v>0</v>
      </c>
      <c r="S25" s="326">
        <f>収支報告書!$G73</f>
        <v>0</v>
      </c>
      <c r="T25" s="333" t="str">
        <f>収支報告書!$K73</f>
        <v/>
      </c>
      <c r="U25" s="333" t="e">
        <f t="shared" si="1"/>
        <v>#VALUE!</v>
      </c>
      <c r="V25" s="343">
        <f>'資料3.個人の所得内訳'!$C26</f>
        <v>0</v>
      </c>
      <c r="W25" s="271" t="e">
        <f t="shared" si="2"/>
        <v>#VALUE!</v>
      </c>
      <c r="X25" s="326" t="str">
        <f>収支報告書!N73</f>
        <v/>
      </c>
      <c r="Y25" s="354" t="e">
        <f>INT('資料2.内訳'!$K$52*X25/$X$5)</f>
        <v>#VALUE!</v>
      </c>
      <c r="Z25" s="333"/>
      <c r="AA25" s="354" t="e">
        <f t="shared" si="3"/>
        <v>#VALUE!</v>
      </c>
      <c r="AB25" s="332">
        <f>'資料4.減価償却内訳'!$Y26</f>
        <v>0</v>
      </c>
      <c r="AC25" s="367" t="e">
        <f t="shared" si="4"/>
        <v>#VALUE!</v>
      </c>
      <c r="AD25" s="305" t="e">
        <f t="shared" si="5"/>
        <v>#VALUE!</v>
      </c>
      <c r="AE25" s="271" t="str">
        <f>IF(ISBLANK('資料1.参加者及び面積'!I22),"",'資料1.参加者及び面積'!I22)</f>
        <v/>
      </c>
      <c r="AG25" s="1">
        <f>IF('資料2.内訳'!$K$52-$Y$5-SUM($AG$6:AG24)&gt;0,1,0)</f>
        <v>0</v>
      </c>
    </row>
    <row r="26" spans="1:33" ht="26.25" customHeight="1">
      <c r="A26" s="228">
        <v>21</v>
      </c>
      <c r="B26" s="237">
        <f t="shared" si="6"/>
        <v>0</v>
      </c>
      <c r="C26" s="245">
        <f t="shared" si="6"/>
        <v>0</v>
      </c>
      <c r="D26" s="252" t="str">
        <f t="shared" si="6"/>
        <v/>
      </c>
      <c r="E26" s="258" t="str">
        <f t="shared" si="7"/>
        <v/>
      </c>
      <c r="F26" s="264">
        <f t="shared" si="8"/>
        <v>0</v>
      </c>
      <c r="G26" s="271" t="str">
        <f t="shared" si="9"/>
        <v/>
      </c>
      <c r="H26" s="245" t="str">
        <f t="shared" si="10"/>
        <v/>
      </c>
      <c r="I26" s="279" t="str">
        <f t="shared" ref="I26:I35" si="14">IF(ISERROR(Y26),"",Y26+AG26)</f>
        <v/>
      </c>
      <c r="J26" s="285"/>
      <c r="K26" s="290" t="str">
        <f t="shared" si="11"/>
        <v/>
      </c>
      <c r="L26" s="295"/>
      <c r="M26" s="300" t="str">
        <f t="shared" si="12"/>
        <v/>
      </c>
      <c r="N26" s="305" t="str">
        <f t="shared" si="13"/>
        <v/>
      </c>
      <c r="O26" s="271">
        <f>'資料1.参加者及び面積'!I23</f>
        <v>0</v>
      </c>
      <c r="Q26" s="315">
        <v>21</v>
      </c>
      <c r="R26" s="237">
        <f>収支報告書!$B74</f>
        <v>0</v>
      </c>
      <c r="S26" s="326">
        <f>収支報告書!$G74</f>
        <v>0</v>
      </c>
      <c r="T26" s="333" t="str">
        <f>収支報告書!$K74</f>
        <v/>
      </c>
      <c r="U26" s="333" t="e">
        <f t="shared" si="1"/>
        <v>#VALUE!</v>
      </c>
      <c r="V26" s="343">
        <f>'資料3.個人の所得内訳'!$C27</f>
        <v>0</v>
      </c>
      <c r="W26" s="271" t="e">
        <f t="shared" si="2"/>
        <v>#VALUE!</v>
      </c>
      <c r="X26" s="326" t="str">
        <f>収支報告書!N74</f>
        <v/>
      </c>
      <c r="Y26" s="354" t="e">
        <f>INT('資料2.内訳'!$K$52*X26/$X$5)</f>
        <v>#VALUE!</v>
      </c>
      <c r="Z26" s="333"/>
      <c r="AA26" s="354" t="e">
        <f t="shared" si="3"/>
        <v>#VALUE!</v>
      </c>
      <c r="AB26" s="332">
        <f>'資料4.減価償却内訳'!$Y27</f>
        <v>0</v>
      </c>
      <c r="AC26" s="367" t="e">
        <f t="shared" si="4"/>
        <v>#VALUE!</v>
      </c>
      <c r="AD26" s="305" t="e">
        <f t="shared" si="5"/>
        <v>#VALUE!</v>
      </c>
      <c r="AE26" s="271" t="str">
        <f>IF(ISBLANK('資料1.参加者及び面積'!I23),"",'資料1.参加者及び面積'!I23)</f>
        <v/>
      </c>
      <c r="AG26" s="1">
        <f>IF('資料2.内訳'!$K$52-$Y$5-SUM($AG$6:AG25)&gt;0,1,0)</f>
        <v>0</v>
      </c>
    </row>
    <row r="27" spans="1:33" ht="26.25" customHeight="1">
      <c r="A27" s="228">
        <v>22</v>
      </c>
      <c r="B27" s="237">
        <f t="shared" si="6"/>
        <v>0</v>
      </c>
      <c r="C27" s="245">
        <f t="shared" si="6"/>
        <v>0</v>
      </c>
      <c r="D27" s="252" t="str">
        <f t="shared" si="6"/>
        <v/>
      </c>
      <c r="E27" s="258" t="str">
        <f t="shared" si="7"/>
        <v/>
      </c>
      <c r="F27" s="264">
        <f t="shared" si="8"/>
        <v>0</v>
      </c>
      <c r="G27" s="271" t="str">
        <f t="shared" si="9"/>
        <v/>
      </c>
      <c r="H27" s="245" t="str">
        <f t="shared" si="10"/>
        <v/>
      </c>
      <c r="I27" s="279" t="str">
        <f t="shared" si="14"/>
        <v/>
      </c>
      <c r="J27" s="285"/>
      <c r="K27" s="290" t="str">
        <f t="shared" si="11"/>
        <v/>
      </c>
      <c r="L27" s="295"/>
      <c r="M27" s="300" t="str">
        <f t="shared" si="12"/>
        <v/>
      </c>
      <c r="N27" s="305" t="str">
        <f t="shared" si="13"/>
        <v/>
      </c>
      <c r="O27" s="300">
        <f>'資料1.参加者及び面積'!I24</f>
        <v>0</v>
      </c>
      <c r="Q27" s="315">
        <v>22</v>
      </c>
      <c r="R27" s="237">
        <f>収支報告書!$B75</f>
        <v>0</v>
      </c>
      <c r="S27" s="326">
        <f>収支報告書!$G75</f>
        <v>0</v>
      </c>
      <c r="T27" s="333" t="str">
        <f>収支報告書!$K75</f>
        <v/>
      </c>
      <c r="U27" s="333" t="e">
        <f t="shared" si="1"/>
        <v>#VALUE!</v>
      </c>
      <c r="V27" s="343">
        <f>'資料3.個人の所得内訳'!$C28</f>
        <v>0</v>
      </c>
      <c r="W27" s="271" t="e">
        <f t="shared" si="2"/>
        <v>#VALUE!</v>
      </c>
      <c r="X27" s="326" t="str">
        <f>収支報告書!N75</f>
        <v/>
      </c>
      <c r="Y27" s="354" t="e">
        <f>INT('資料2.内訳'!$K$52*X27/$X$5)</f>
        <v>#VALUE!</v>
      </c>
      <c r="Z27" s="333"/>
      <c r="AA27" s="354" t="e">
        <f t="shared" si="3"/>
        <v>#VALUE!</v>
      </c>
      <c r="AB27" s="332">
        <f>'資料4.減価償却内訳'!$Y28</f>
        <v>0</v>
      </c>
      <c r="AC27" s="367" t="e">
        <f t="shared" si="4"/>
        <v>#VALUE!</v>
      </c>
      <c r="AD27" s="305" t="e">
        <f t="shared" si="5"/>
        <v>#VALUE!</v>
      </c>
      <c r="AE27" s="271" t="str">
        <f>IF(ISBLANK('資料1.参加者及び面積'!I24),"",'資料1.参加者及び面積'!I24)</f>
        <v/>
      </c>
      <c r="AG27" s="1">
        <f>IF('資料2.内訳'!$K$52-$Y$5-SUM($AG$6:AG26)&gt;0,1,0)</f>
        <v>0</v>
      </c>
    </row>
    <row r="28" spans="1:33" ht="26.25" customHeight="1">
      <c r="A28" s="228">
        <v>23</v>
      </c>
      <c r="B28" s="237">
        <f t="shared" si="6"/>
        <v>0</v>
      </c>
      <c r="C28" s="245">
        <f t="shared" si="6"/>
        <v>0</v>
      </c>
      <c r="D28" s="252" t="str">
        <f t="shared" si="6"/>
        <v/>
      </c>
      <c r="E28" s="258" t="str">
        <f t="shared" si="7"/>
        <v/>
      </c>
      <c r="F28" s="264">
        <f t="shared" si="8"/>
        <v>0</v>
      </c>
      <c r="G28" s="271" t="str">
        <f t="shared" si="9"/>
        <v/>
      </c>
      <c r="H28" s="245" t="str">
        <f t="shared" si="10"/>
        <v/>
      </c>
      <c r="I28" s="279" t="str">
        <f t="shared" si="14"/>
        <v/>
      </c>
      <c r="J28" s="285"/>
      <c r="K28" s="290" t="str">
        <f t="shared" si="11"/>
        <v/>
      </c>
      <c r="L28" s="295"/>
      <c r="M28" s="300" t="str">
        <f t="shared" si="12"/>
        <v/>
      </c>
      <c r="N28" s="305" t="str">
        <f t="shared" si="13"/>
        <v/>
      </c>
      <c r="O28" s="271">
        <f>'資料1.参加者及び面積'!I25</f>
        <v>0</v>
      </c>
      <c r="Q28" s="315">
        <v>23</v>
      </c>
      <c r="R28" s="237">
        <f>収支報告書!$B76</f>
        <v>0</v>
      </c>
      <c r="S28" s="326">
        <f>収支報告書!$G76</f>
        <v>0</v>
      </c>
      <c r="T28" s="333" t="str">
        <f>収支報告書!$K76</f>
        <v/>
      </c>
      <c r="U28" s="333" t="e">
        <f t="shared" si="1"/>
        <v>#VALUE!</v>
      </c>
      <c r="V28" s="343">
        <f>'資料3.個人の所得内訳'!$C29</f>
        <v>0</v>
      </c>
      <c r="W28" s="271" t="e">
        <f t="shared" si="2"/>
        <v>#VALUE!</v>
      </c>
      <c r="X28" s="326" t="str">
        <f>収支報告書!N76</f>
        <v/>
      </c>
      <c r="Y28" s="354" t="e">
        <f>INT('資料2.内訳'!$K$52*X28/$X$5)</f>
        <v>#VALUE!</v>
      </c>
      <c r="Z28" s="333"/>
      <c r="AA28" s="354" t="e">
        <f t="shared" si="3"/>
        <v>#VALUE!</v>
      </c>
      <c r="AB28" s="332">
        <f>'資料4.減価償却内訳'!$Y29</f>
        <v>0</v>
      </c>
      <c r="AC28" s="367" t="e">
        <f t="shared" si="4"/>
        <v>#VALUE!</v>
      </c>
      <c r="AD28" s="305" t="e">
        <f t="shared" si="5"/>
        <v>#VALUE!</v>
      </c>
      <c r="AE28" s="271" t="str">
        <f>IF(ISBLANK('資料1.参加者及び面積'!I25),"",'資料1.参加者及び面積'!I25)</f>
        <v/>
      </c>
      <c r="AG28" s="1">
        <f>IF('資料2.内訳'!$K$52-$Y$5-SUM($AG$6:AG27)&gt;0,1,0)</f>
        <v>0</v>
      </c>
    </row>
    <row r="29" spans="1:33" ht="26.25" customHeight="1">
      <c r="A29" s="228">
        <v>24</v>
      </c>
      <c r="B29" s="237">
        <f t="shared" si="6"/>
        <v>0</v>
      </c>
      <c r="C29" s="245">
        <f t="shared" si="6"/>
        <v>0</v>
      </c>
      <c r="D29" s="252" t="str">
        <f t="shared" si="6"/>
        <v/>
      </c>
      <c r="E29" s="258" t="str">
        <f t="shared" si="7"/>
        <v/>
      </c>
      <c r="F29" s="264">
        <f t="shared" si="8"/>
        <v>0</v>
      </c>
      <c r="G29" s="271" t="str">
        <f t="shared" si="9"/>
        <v/>
      </c>
      <c r="H29" s="245" t="str">
        <f t="shared" si="10"/>
        <v/>
      </c>
      <c r="I29" s="279" t="str">
        <f t="shared" si="14"/>
        <v/>
      </c>
      <c r="J29" s="285"/>
      <c r="K29" s="290" t="str">
        <f t="shared" si="11"/>
        <v/>
      </c>
      <c r="L29" s="295"/>
      <c r="M29" s="300" t="str">
        <f t="shared" si="12"/>
        <v/>
      </c>
      <c r="N29" s="305" t="str">
        <f t="shared" si="13"/>
        <v/>
      </c>
      <c r="O29" s="271">
        <f>'資料1.参加者及び面積'!I26</f>
        <v>0</v>
      </c>
      <c r="Q29" s="315">
        <v>24</v>
      </c>
      <c r="R29" s="237">
        <f>収支報告書!$B77</f>
        <v>0</v>
      </c>
      <c r="S29" s="326">
        <f>収支報告書!$G77</f>
        <v>0</v>
      </c>
      <c r="T29" s="333" t="str">
        <f>収支報告書!$K77</f>
        <v/>
      </c>
      <c r="U29" s="333" t="e">
        <f t="shared" si="1"/>
        <v>#VALUE!</v>
      </c>
      <c r="V29" s="343">
        <f>'資料3.個人の所得内訳'!$C30</f>
        <v>0</v>
      </c>
      <c r="W29" s="271" t="e">
        <f t="shared" si="2"/>
        <v>#VALUE!</v>
      </c>
      <c r="X29" s="326" t="str">
        <f>収支報告書!N77</f>
        <v/>
      </c>
      <c r="Y29" s="354" t="e">
        <f>INT('資料2.内訳'!$K$52*X29/$X$5)</f>
        <v>#VALUE!</v>
      </c>
      <c r="Z29" s="333"/>
      <c r="AA29" s="354" t="e">
        <f t="shared" si="3"/>
        <v>#VALUE!</v>
      </c>
      <c r="AB29" s="332">
        <f>'資料4.減価償却内訳'!$Y30</f>
        <v>0</v>
      </c>
      <c r="AC29" s="367" t="e">
        <f t="shared" si="4"/>
        <v>#VALUE!</v>
      </c>
      <c r="AD29" s="305" t="e">
        <f t="shared" si="5"/>
        <v>#VALUE!</v>
      </c>
      <c r="AE29" s="271" t="str">
        <f>IF(ISBLANK('資料1.参加者及び面積'!I26),"",'資料1.参加者及び面積'!I26)</f>
        <v/>
      </c>
      <c r="AG29" s="1">
        <f>IF('資料2.内訳'!$K$52-$Y$5-SUM($AG$6:AG28)&gt;0,1,0)</f>
        <v>0</v>
      </c>
    </row>
    <row r="30" spans="1:33" ht="26.25" customHeight="1">
      <c r="A30" s="228">
        <v>25</v>
      </c>
      <c r="B30" s="237">
        <f t="shared" si="6"/>
        <v>0</v>
      </c>
      <c r="C30" s="245">
        <f t="shared" si="6"/>
        <v>0</v>
      </c>
      <c r="D30" s="252" t="str">
        <f t="shared" si="6"/>
        <v/>
      </c>
      <c r="E30" s="258" t="str">
        <f t="shared" si="7"/>
        <v/>
      </c>
      <c r="F30" s="264">
        <f t="shared" si="8"/>
        <v>0</v>
      </c>
      <c r="G30" s="271" t="str">
        <f t="shared" si="9"/>
        <v/>
      </c>
      <c r="H30" s="245" t="str">
        <f t="shared" si="10"/>
        <v/>
      </c>
      <c r="I30" s="279" t="str">
        <f t="shared" si="14"/>
        <v/>
      </c>
      <c r="J30" s="285"/>
      <c r="K30" s="290" t="str">
        <f t="shared" si="11"/>
        <v/>
      </c>
      <c r="L30" s="295"/>
      <c r="M30" s="300" t="str">
        <f t="shared" si="12"/>
        <v/>
      </c>
      <c r="N30" s="305" t="str">
        <f t="shared" si="13"/>
        <v/>
      </c>
      <c r="O30" s="300">
        <f>'資料1.参加者及び面積'!I27</f>
        <v>0</v>
      </c>
      <c r="Q30" s="315">
        <v>25</v>
      </c>
      <c r="R30" s="237">
        <f>収支報告書!$B78</f>
        <v>0</v>
      </c>
      <c r="S30" s="326">
        <f>収支報告書!$G78</f>
        <v>0</v>
      </c>
      <c r="T30" s="333" t="str">
        <f>収支報告書!$K78</f>
        <v/>
      </c>
      <c r="U30" s="333" t="e">
        <f t="shared" si="1"/>
        <v>#VALUE!</v>
      </c>
      <c r="V30" s="343">
        <f>'資料3.個人の所得内訳'!$C31</f>
        <v>0</v>
      </c>
      <c r="W30" s="271" t="e">
        <f t="shared" si="2"/>
        <v>#VALUE!</v>
      </c>
      <c r="X30" s="326" t="str">
        <f>収支報告書!N78</f>
        <v/>
      </c>
      <c r="Y30" s="354" t="e">
        <f>INT('資料2.内訳'!$K$52*X30/$X$5)</f>
        <v>#VALUE!</v>
      </c>
      <c r="Z30" s="333"/>
      <c r="AA30" s="354" t="e">
        <f t="shared" si="3"/>
        <v>#VALUE!</v>
      </c>
      <c r="AB30" s="332">
        <f>'資料4.減価償却内訳'!$Y31</f>
        <v>0</v>
      </c>
      <c r="AC30" s="367" t="e">
        <f t="shared" si="4"/>
        <v>#VALUE!</v>
      </c>
      <c r="AD30" s="305" t="e">
        <f t="shared" si="5"/>
        <v>#VALUE!</v>
      </c>
      <c r="AE30" s="271" t="str">
        <f>IF(ISBLANK('資料1.参加者及び面積'!I27),"",'資料1.参加者及び面積'!I27)</f>
        <v/>
      </c>
      <c r="AG30" s="1">
        <f>IF('資料2.内訳'!$K$52-$Y$5-SUM($AG$6:AG29)&gt;0,1,0)</f>
        <v>0</v>
      </c>
    </row>
    <row r="31" spans="1:33" ht="26.25" customHeight="1">
      <c r="A31" s="228">
        <v>26</v>
      </c>
      <c r="B31" s="237">
        <f t="shared" si="6"/>
        <v>0</v>
      </c>
      <c r="C31" s="245">
        <f t="shared" si="6"/>
        <v>0</v>
      </c>
      <c r="D31" s="252" t="str">
        <f t="shared" si="6"/>
        <v/>
      </c>
      <c r="E31" s="258" t="str">
        <f t="shared" si="7"/>
        <v/>
      </c>
      <c r="F31" s="264">
        <f t="shared" si="8"/>
        <v>0</v>
      </c>
      <c r="G31" s="271" t="str">
        <f t="shared" si="9"/>
        <v/>
      </c>
      <c r="H31" s="245" t="str">
        <f t="shared" si="10"/>
        <v/>
      </c>
      <c r="I31" s="279" t="str">
        <f t="shared" si="14"/>
        <v/>
      </c>
      <c r="J31" s="285"/>
      <c r="K31" s="290" t="str">
        <f t="shared" si="11"/>
        <v/>
      </c>
      <c r="L31" s="295"/>
      <c r="M31" s="300" t="str">
        <f t="shared" si="12"/>
        <v/>
      </c>
      <c r="N31" s="305" t="str">
        <f t="shared" si="13"/>
        <v/>
      </c>
      <c r="O31" s="271">
        <f>'資料1.参加者及び面積'!I28</f>
        <v>0</v>
      </c>
      <c r="Q31" s="315">
        <v>26</v>
      </c>
      <c r="R31" s="237">
        <f>収支報告書!$B79</f>
        <v>0</v>
      </c>
      <c r="S31" s="326">
        <f>収支報告書!$G79</f>
        <v>0</v>
      </c>
      <c r="T31" s="333" t="str">
        <f>収支報告書!$K79</f>
        <v/>
      </c>
      <c r="U31" s="333" t="e">
        <f t="shared" si="1"/>
        <v>#VALUE!</v>
      </c>
      <c r="V31" s="343">
        <f>'資料3.個人の所得内訳'!$C32</f>
        <v>0</v>
      </c>
      <c r="W31" s="271" t="e">
        <f t="shared" si="2"/>
        <v>#VALUE!</v>
      </c>
      <c r="X31" s="326" t="str">
        <f>収支報告書!N79</f>
        <v/>
      </c>
      <c r="Y31" s="354" t="e">
        <f>INT('資料2.内訳'!$K$52*X31/$X$5)</f>
        <v>#VALUE!</v>
      </c>
      <c r="Z31" s="333"/>
      <c r="AA31" s="354" t="e">
        <f t="shared" si="3"/>
        <v>#VALUE!</v>
      </c>
      <c r="AB31" s="332">
        <f>'資料4.減価償却内訳'!$Y32</f>
        <v>0</v>
      </c>
      <c r="AC31" s="367" t="e">
        <f t="shared" si="4"/>
        <v>#VALUE!</v>
      </c>
      <c r="AD31" s="305" t="e">
        <f t="shared" si="5"/>
        <v>#VALUE!</v>
      </c>
      <c r="AE31" s="271" t="str">
        <f>IF(ISBLANK('資料1.参加者及び面積'!I28),"",'資料1.参加者及び面積'!I28)</f>
        <v/>
      </c>
      <c r="AG31" s="1">
        <f>IF('資料2.内訳'!$K$52-$Y$5-SUM($AG$6:AG30)&gt;0,1,0)</f>
        <v>0</v>
      </c>
    </row>
    <row r="32" spans="1:33" ht="26.25" customHeight="1">
      <c r="A32" s="228">
        <v>27</v>
      </c>
      <c r="B32" s="237">
        <f t="shared" si="6"/>
        <v>0</v>
      </c>
      <c r="C32" s="245">
        <f t="shared" si="6"/>
        <v>0</v>
      </c>
      <c r="D32" s="252" t="str">
        <f t="shared" si="6"/>
        <v/>
      </c>
      <c r="E32" s="258" t="str">
        <f t="shared" si="7"/>
        <v/>
      </c>
      <c r="F32" s="264">
        <f t="shared" si="8"/>
        <v>0</v>
      </c>
      <c r="G32" s="271" t="str">
        <f t="shared" si="9"/>
        <v/>
      </c>
      <c r="H32" s="245" t="str">
        <f t="shared" si="10"/>
        <v/>
      </c>
      <c r="I32" s="279" t="str">
        <f t="shared" si="14"/>
        <v/>
      </c>
      <c r="J32" s="285"/>
      <c r="K32" s="290" t="str">
        <f t="shared" si="11"/>
        <v/>
      </c>
      <c r="L32" s="295"/>
      <c r="M32" s="300" t="str">
        <f t="shared" si="12"/>
        <v/>
      </c>
      <c r="N32" s="305" t="str">
        <f t="shared" si="13"/>
        <v/>
      </c>
      <c r="O32" s="271">
        <f>'資料1.参加者及び面積'!I29</f>
        <v>0</v>
      </c>
      <c r="Q32" s="315">
        <v>27</v>
      </c>
      <c r="R32" s="237">
        <f>収支報告書!$B80</f>
        <v>0</v>
      </c>
      <c r="S32" s="326">
        <f>収支報告書!$G80</f>
        <v>0</v>
      </c>
      <c r="T32" s="333" t="str">
        <f>収支報告書!$K80</f>
        <v/>
      </c>
      <c r="U32" s="333" t="e">
        <f t="shared" si="1"/>
        <v>#VALUE!</v>
      </c>
      <c r="V32" s="343">
        <f>'資料3.個人の所得内訳'!$C33</f>
        <v>0</v>
      </c>
      <c r="W32" s="271" t="e">
        <f t="shared" si="2"/>
        <v>#VALUE!</v>
      </c>
      <c r="X32" s="326" t="str">
        <f>収支報告書!N80</f>
        <v/>
      </c>
      <c r="Y32" s="354" t="e">
        <f>INT('資料2.内訳'!$K$52*X32/$X$5)</f>
        <v>#VALUE!</v>
      </c>
      <c r="Z32" s="333"/>
      <c r="AA32" s="354" t="e">
        <f t="shared" si="3"/>
        <v>#VALUE!</v>
      </c>
      <c r="AB32" s="332">
        <f>'資料4.減価償却内訳'!$Y33</f>
        <v>0</v>
      </c>
      <c r="AC32" s="367" t="e">
        <f t="shared" si="4"/>
        <v>#VALUE!</v>
      </c>
      <c r="AD32" s="305" t="e">
        <f t="shared" si="5"/>
        <v>#VALUE!</v>
      </c>
      <c r="AE32" s="271" t="str">
        <f>IF(ISBLANK('資料1.参加者及び面積'!I29),"",'資料1.参加者及び面積'!I29)</f>
        <v/>
      </c>
      <c r="AG32" s="1">
        <f>IF('資料2.内訳'!$K$52-$Y$5-SUM($AG$6:AG31)&gt;0,1,0)</f>
        <v>0</v>
      </c>
    </row>
    <row r="33" spans="1:33" ht="26.25" customHeight="1">
      <c r="A33" s="228">
        <v>28</v>
      </c>
      <c r="B33" s="237">
        <f t="shared" si="6"/>
        <v>0</v>
      </c>
      <c r="C33" s="245">
        <f t="shared" si="6"/>
        <v>0</v>
      </c>
      <c r="D33" s="252" t="str">
        <f t="shared" si="6"/>
        <v/>
      </c>
      <c r="E33" s="258" t="str">
        <f t="shared" si="7"/>
        <v/>
      </c>
      <c r="F33" s="264">
        <f t="shared" si="8"/>
        <v>0</v>
      </c>
      <c r="G33" s="271" t="str">
        <f t="shared" si="9"/>
        <v/>
      </c>
      <c r="H33" s="245" t="str">
        <f t="shared" si="10"/>
        <v/>
      </c>
      <c r="I33" s="279" t="str">
        <f t="shared" si="14"/>
        <v/>
      </c>
      <c r="J33" s="285"/>
      <c r="K33" s="290" t="str">
        <f t="shared" si="11"/>
        <v/>
      </c>
      <c r="L33" s="295"/>
      <c r="M33" s="300" t="str">
        <f t="shared" si="12"/>
        <v/>
      </c>
      <c r="N33" s="305" t="str">
        <f t="shared" si="13"/>
        <v/>
      </c>
      <c r="O33" s="300">
        <f>'資料1.参加者及び面積'!I30</f>
        <v>0</v>
      </c>
      <c r="Q33" s="315">
        <v>28</v>
      </c>
      <c r="R33" s="237">
        <f>収支報告書!$B81</f>
        <v>0</v>
      </c>
      <c r="S33" s="326">
        <f>収支報告書!$G81</f>
        <v>0</v>
      </c>
      <c r="T33" s="333" t="str">
        <f>収支報告書!$K81</f>
        <v/>
      </c>
      <c r="U33" s="333" t="e">
        <f t="shared" si="1"/>
        <v>#VALUE!</v>
      </c>
      <c r="V33" s="343">
        <f>'資料3.個人の所得内訳'!$C34</f>
        <v>0</v>
      </c>
      <c r="W33" s="271" t="e">
        <f t="shared" si="2"/>
        <v>#VALUE!</v>
      </c>
      <c r="X33" s="326" t="str">
        <f>収支報告書!N81</f>
        <v/>
      </c>
      <c r="Y33" s="354" t="e">
        <f>INT('資料2.内訳'!$K$52*X33/$X$5)</f>
        <v>#VALUE!</v>
      </c>
      <c r="Z33" s="333"/>
      <c r="AA33" s="354" t="e">
        <f t="shared" si="3"/>
        <v>#VALUE!</v>
      </c>
      <c r="AB33" s="332">
        <f>'資料4.減価償却内訳'!$Y34</f>
        <v>0</v>
      </c>
      <c r="AC33" s="367" t="e">
        <f t="shared" si="4"/>
        <v>#VALUE!</v>
      </c>
      <c r="AD33" s="305" t="e">
        <f t="shared" si="5"/>
        <v>#VALUE!</v>
      </c>
      <c r="AE33" s="271" t="str">
        <f>IF(ISBLANK('資料1.参加者及び面積'!I30),"",'資料1.参加者及び面積'!I30)</f>
        <v/>
      </c>
      <c r="AG33" s="1">
        <f>IF('資料2.内訳'!$K$52-$Y$5-SUM($AG$6:AG32)&gt;0,1,0)</f>
        <v>0</v>
      </c>
    </row>
    <row r="34" spans="1:33" ht="26.25" customHeight="1">
      <c r="A34" s="228">
        <v>29</v>
      </c>
      <c r="B34" s="237">
        <f t="shared" si="6"/>
        <v>0</v>
      </c>
      <c r="C34" s="245">
        <f t="shared" si="6"/>
        <v>0</v>
      </c>
      <c r="D34" s="252" t="str">
        <f t="shared" si="6"/>
        <v/>
      </c>
      <c r="E34" s="258" t="str">
        <f t="shared" si="7"/>
        <v/>
      </c>
      <c r="F34" s="264">
        <f t="shared" si="8"/>
        <v>0</v>
      </c>
      <c r="G34" s="271" t="str">
        <f t="shared" si="9"/>
        <v/>
      </c>
      <c r="H34" s="245" t="str">
        <f t="shared" si="10"/>
        <v/>
      </c>
      <c r="I34" s="279" t="str">
        <f t="shared" si="14"/>
        <v/>
      </c>
      <c r="J34" s="285"/>
      <c r="K34" s="290" t="str">
        <f t="shared" si="11"/>
        <v/>
      </c>
      <c r="L34" s="295"/>
      <c r="M34" s="300" t="str">
        <f t="shared" si="12"/>
        <v/>
      </c>
      <c r="N34" s="305" t="str">
        <f t="shared" si="13"/>
        <v/>
      </c>
      <c r="O34" s="271">
        <f>'資料1.参加者及び面積'!I31</f>
        <v>0</v>
      </c>
      <c r="Q34" s="315">
        <v>29</v>
      </c>
      <c r="R34" s="237">
        <f>収支報告書!$B82</f>
        <v>0</v>
      </c>
      <c r="S34" s="326">
        <f>収支報告書!$G82</f>
        <v>0</v>
      </c>
      <c r="T34" s="333" t="str">
        <f>収支報告書!$K82</f>
        <v/>
      </c>
      <c r="U34" s="333" t="e">
        <f t="shared" si="1"/>
        <v>#VALUE!</v>
      </c>
      <c r="V34" s="343">
        <f>'資料3.個人の所得内訳'!$C35</f>
        <v>0</v>
      </c>
      <c r="W34" s="271" t="e">
        <f t="shared" si="2"/>
        <v>#VALUE!</v>
      </c>
      <c r="X34" s="326" t="str">
        <f>収支報告書!N82</f>
        <v/>
      </c>
      <c r="Y34" s="354" t="e">
        <f>INT('資料2.内訳'!$K$52*X34/$X$5)</f>
        <v>#VALUE!</v>
      </c>
      <c r="Z34" s="333"/>
      <c r="AA34" s="354" t="e">
        <f t="shared" si="3"/>
        <v>#VALUE!</v>
      </c>
      <c r="AB34" s="332">
        <f>'資料4.減価償却内訳'!$Y35</f>
        <v>0</v>
      </c>
      <c r="AC34" s="367" t="e">
        <f t="shared" si="4"/>
        <v>#VALUE!</v>
      </c>
      <c r="AD34" s="305" t="e">
        <f t="shared" si="5"/>
        <v>#VALUE!</v>
      </c>
      <c r="AE34" s="271" t="str">
        <f>IF(ISBLANK('資料1.参加者及び面積'!I31),"",'資料1.参加者及び面積'!I31)</f>
        <v/>
      </c>
      <c r="AG34" s="1">
        <f>IF('資料2.内訳'!$K$52-$Y$5-SUM($AG$6:AG33)&gt;0,1,0)</f>
        <v>0</v>
      </c>
    </row>
    <row r="35" spans="1:33" ht="26.25" customHeight="1">
      <c r="A35" s="229">
        <v>30</v>
      </c>
      <c r="B35" s="238">
        <f t="shared" si="6"/>
        <v>0</v>
      </c>
      <c r="C35" s="246">
        <f t="shared" si="6"/>
        <v>0</v>
      </c>
      <c r="D35" s="253" t="str">
        <f t="shared" si="6"/>
        <v/>
      </c>
      <c r="E35" s="259" t="str">
        <f t="shared" si="7"/>
        <v/>
      </c>
      <c r="F35" s="265">
        <f t="shared" si="8"/>
        <v>0</v>
      </c>
      <c r="G35" s="272" t="str">
        <f t="shared" si="9"/>
        <v/>
      </c>
      <c r="H35" s="246" t="str">
        <f t="shared" si="10"/>
        <v/>
      </c>
      <c r="I35" s="280" t="str">
        <f t="shared" si="14"/>
        <v/>
      </c>
      <c r="J35" s="286"/>
      <c r="K35" s="291" t="str">
        <f t="shared" si="11"/>
        <v/>
      </c>
      <c r="L35" s="297"/>
      <c r="M35" s="301" t="str">
        <f t="shared" si="12"/>
        <v/>
      </c>
      <c r="N35" s="306" t="str">
        <f t="shared" si="13"/>
        <v/>
      </c>
      <c r="O35" s="272">
        <f>'資料1.参加者及び面積'!I32</f>
        <v>0</v>
      </c>
      <c r="Q35" s="316">
        <v>30</v>
      </c>
      <c r="R35" s="238">
        <f>収支報告書!$B83</f>
        <v>0</v>
      </c>
      <c r="S35" s="327">
        <f>収支報告書!$G83</f>
        <v>0</v>
      </c>
      <c r="T35" s="334" t="str">
        <f>収支報告書!$K83</f>
        <v/>
      </c>
      <c r="U35" s="338" t="e">
        <f t="shared" si="1"/>
        <v>#VALUE!</v>
      </c>
      <c r="V35" s="344">
        <f>'資料3.個人の所得内訳'!$C36</f>
        <v>0</v>
      </c>
      <c r="W35" s="272" t="e">
        <f t="shared" si="2"/>
        <v>#VALUE!</v>
      </c>
      <c r="X35" s="327" t="str">
        <f>収支報告書!N83</f>
        <v/>
      </c>
      <c r="Y35" s="334" t="e">
        <f>INT('資料2.内訳'!$K$52*X35/$X$5)</f>
        <v>#VALUE!</v>
      </c>
      <c r="Z35" s="357"/>
      <c r="AA35" s="334" t="e">
        <f t="shared" si="3"/>
        <v>#VALUE!</v>
      </c>
      <c r="AB35" s="361">
        <f>'資料4.減価償却内訳'!$Y36</f>
        <v>0</v>
      </c>
      <c r="AC35" s="368" t="e">
        <f t="shared" si="4"/>
        <v>#VALUE!</v>
      </c>
      <c r="AD35" s="306" t="e">
        <f t="shared" si="5"/>
        <v>#VALUE!</v>
      </c>
      <c r="AE35" s="272" t="str">
        <f>IF(ISBLANK('資料1.参加者及び面積'!I32),"",'資料1.参加者及び面積'!I32)</f>
        <v/>
      </c>
      <c r="AG35" s="1">
        <f>IF('資料2.内訳'!$K$52-$Y$5-SUM($AG$6:AG34)&gt;0,1,0)</f>
        <v>0</v>
      </c>
    </row>
    <row r="36" spans="1:33" ht="19.5" customHeight="1">
      <c r="A36" s="230"/>
      <c r="B36" s="239" t="s">
        <v>46</v>
      </c>
      <c r="C36" s="230"/>
      <c r="D36" s="230"/>
      <c r="E36" s="230"/>
      <c r="F36" s="230"/>
      <c r="G36" s="230"/>
      <c r="H36" s="230"/>
      <c r="I36" s="230"/>
      <c r="J36" s="230"/>
      <c r="K36" s="230"/>
      <c r="L36" s="230"/>
      <c r="M36" s="230"/>
      <c r="N36" s="230"/>
      <c r="O36" s="230"/>
    </row>
    <row r="37" spans="1:33" ht="19.5" customHeight="1">
      <c r="A37" s="230"/>
      <c r="B37" s="239" t="s">
        <v>192</v>
      </c>
      <c r="C37" s="230"/>
      <c r="D37" s="230"/>
      <c r="E37" s="230"/>
      <c r="F37" s="230"/>
      <c r="G37" s="230"/>
      <c r="H37" s="230"/>
      <c r="I37" s="230"/>
      <c r="J37" s="230"/>
      <c r="K37" s="230"/>
      <c r="L37" s="230"/>
      <c r="M37" s="230"/>
      <c r="N37" s="230"/>
      <c r="O37" s="230"/>
    </row>
    <row r="38" spans="1:33" ht="19.5" customHeight="1">
      <c r="A38" s="230"/>
      <c r="B38" s="239" t="s">
        <v>175</v>
      </c>
      <c r="C38" s="230"/>
      <c r="D38" s="230"/>
      <c r="E38" s="230"/>
      <c r="F38" s="230"/>
      <c r="G38" s="230"/>
      <c r="H38" s="230"/>
      <c r="I38" s="230"/>
      <c r="J38" s="230"/>
      <c r="K38" s="230"/>
      <c r="L38" s="230"/>
      <c r="M38" s="230"/>
      <c r="N38" s="230"/>
      <c r="O38" s="230"/>
    </row>
    <row r="39" spans="1:33" ht="18" customHeight="1"/>
    <row r="40" spans="1:33" ht="18" customHeight="1"/>
    <row r="41" spans="1:33" ht="18" customHeight="1"/>
    <row r="42" spans="1:33" ht="18" customHeight="1"/>
    <row r="43" spans="1:33" ht="18" customHeight="1"/>
    <row r="44" spans="1:33" ht="18" customHeight="1"/>
    <row r="45" spans="1:33" ht="18" customHeight="1"/>
    <row r="46" spans="1:33" ht="18" customHeight="1"/>
    <row r="47" spans="1:33" ht="18" customHeight="1"/>
  </sheetData>
  <mergeCells count="31">
    <mergeCell ref="C2:G2"/>
    <mergeCell ref="H2:M2"/>
    <mergeCell ref="S2:W2"/>
    <mergeCell ref="X2:AC2"/>
    <mergeCell ref="I3:J3"/>
    <mergeCell ref="Y3:Z3"/>
    <mergeCell ref="A5:B5"/>
    <mergeCell ref="Q5:R5"/>
    <mergeCell ref="A2:B4"/>
    <mergeCell ref="N2:N4"/>
    <mergeCell ref="O2:O4"/>
    <mergeCell ref="Q2:R4"/>
    <mergeCell ref="AD2:AD4"/>
    <mergeCell ref="AE2:AE4"/>
    <mergeCell ref="C3:C4"/>
    <mergeCell ref="D3:D4"/>
    <mergeCell ref="E3:E4"/>
    <mergeCell ref="F3:F4"/>
    <mergeCell ref="G3:G4"/>
    <mergeCell ref="H3:H4"/>
    <mergeCell ref="K3:K4"/>
    <mergeCell ref="L3:L4"/>
    <mergeCell ref="M3:M4"/>
    <mergeCell ref="S3:S4"/>
    <mergeCell ref="T3:T4"/>
    <mergeCell ref="U3:U4"/>
    <mergeCell ref="V3:V4"/>
    <mergeCell ref="W3:W4"/>
    <mergeCell ref="X3:X4"/>
    <mergeCell ref="AA3:AA4"/>
    <mergeCell ref="AC3:AC4"/>
  </mergeCells>
  <phoneticPr fontId="9"/>
  <conditionalFormatting sqref="Z5">
    <cfRule type="cellIs" dxfId="1" priority="1" stopIfTrue="1" operator="notEqual">
      <formula>"sum($Z$6:$Z$35)"</formula>
    </cfRule>
  </conditionalFormatting>
  <pageMargins left="0.59055118110236227" right="0.19685039370078741" top="0.59055118110236227" bottom="0.19685039370078741" header="0.27559055118110237" footer="0.27559055118110237"/>
  <pageSetup paperSize="9" scale="52" fitToWidth="1" fitToHeight="0" orientation="landscape" usePrinterDefaults="1" r:id="rId1"/>
  <headerFooter alignWithMargins="0">
    <oddHeader>&amp;L&amp;20協定参加者別所得細目表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2:S64"/>
  <sheetViews>
    <sheetView showZeros="0" view="pageBreakPreview" zoomScaleSheetLayoutView="100" workbookViewId="0">
      <selection activeCell="B2" sqref="B2"/>
    </sheetView>
  </sheetViews>
  <sheetFormatPr defaultRowHeight="14.25"/>
  <cols>
    <col min="1" max="1" width="11.75" style="375" customWidth="1"/>
    <col min="2" max="2" width="14.375" style="375" customWidth="1"/>
    <col min="3" max="3" width="3.125" style="375" customWidth="1"/>
    <col min="4" max="4" width="1.875" style="375" customWidth="1"/>
    <col min="5" max="5" width="4.5" style="375" customWidth="1"/>
    <col min="6" max="6" width="15.75" style="375" customWidth="1"/>
    <col min="7" max="7" width="14.625" style="375" customWidth="1"/>
    <col min="8" max="8" width="18.375" style="375" customWidth="1"/>
    <col min="9" max="9" width="10.5" style="375" customWidth="1"/>
    <col min="10" max="10" width="9" style="375" customWidth="1"/>
    <col min="11" max="11" width="24.5" style="375" customWidth="1"/>
    <col min="12" max="14" width="9" style="375" customWidth="1"/>
    <col min="15" max="15" width="24.375" style="375" customWidth="1"/>
    <col min="16" max="16" width="25.625" style="375" customWidth="1"/>
    <col min="17" max="16384" width="9" style="375" customWidth="1"/>
  </cols>
  <sheetData>
    <row r="1" spans="1:19" ht="42.75" customHeight="1"/>
    <row r="2" spans="1:19" ht="20.25" customHeight="1">
      <c r="A2" s="376" t="s">
        <v>194</v>
      </c>
      <c r="B2" s="385">
        <v>4410000</v>
      </c>
      <c r="C2" s="381"/>
      <c r="D2" s="381"/>
      <c r="E2" s="393" t="s">
        <v>39</v>
      </c>
      <c r="F2" s="398" t="s">
        <v>84</v>
      </c>
      <c r="G2" s="398" t="s">
        <v>161</v>
      </c>
      <c r="H2" s="407" t="s">
        <v>163</v>
      </c>
      <c r="I2" s="386" t="s">
        <v>21</v>
      </c>
      <c r="K2" s="414"/>
      <c r="O2" s="416" t="s">
        <v>145</v>
      </c>
      <c r="P2" s="416" t="s">
        <v>92</v>
      </c>
      <c r="R2" s="418"/>
      <c r="S2" s="375" t="s">
        <v>222</v>
      </c>
    </row>
    <row r="3" spans="1:19" ht="20.25" customHeight="1">
      <c r="A3" s="377" t="s">
        <v>141</v>
      </c>
      <c r="B3" s="386" t="s">
        <v>140</v>
      </c>
      <c r="C3" s="381"/>
      <c r="D3" s="381"/>
      <c r="E3" s="394">
        <v>1</v>
      </c>
      <c r="F3" s="399" t="s">
        <v>232</v>
      </c>
      <c r="G3" s="403">
        <v>10000</v>
      </c>
      <c r="H3" s="408">
        <f t="shared" ref="H3:H14" si="0">G3*$J$3/1000*2/10</f>
        <v>42000</v>
      </c>
      <c r="I3" s="412" t="s">
        <v>251</v>
      </c>
      <c r="J3" s="375">
        <v>21000</v>
      </c>
      <c r="K3" s="415"/>
      <c r="O3" s="417" t="s">
        <v>85</v>
      </c>
      <c r="P3" s="417" t="s">
        <v>90</v>
      </c>
      <c r="R3" s="375">
        <v>1</v>
      </c>
      <c r="S3" s="418" t="s">
        <v>223</v>
      </c>
    </row>
    <row r="4" spans="1:19" ht="20.25" customHeight="1">
      <c r="A4" s="378" t="s">
        <v>139</v>
      </c>
      <c r="B4" s="387">
        <f>H33</f>
        <v>882000</v>
      </c>
      <c r="C4" s="381"/>
      <c r="D4" s="381"/>
      <c r="E4" s="394">
        <v>2</v>
      </c>
      <c r="F4" s="399" t="s">
        <v>230</v>
      </c>
      <c r="G4" s="403">
        <v>10000</v>
      </c>
      <c r="H4" s="408">
        <f t="shared" si="0"/>
        <v>42000</v>
      </c>
      <c r="I4" s="412" t="s">
        <v>251</v>
      </c>
      <c r="O4" s="417" t="s">
        <v>93</v>
      </c>
      <c r="P4" s="417" t="s">
        <v>85</v>
      </c>
      <c r="R4" s="375">
        <v>2</v>
      </c>
      <c r="S4" s="375" t="s">
        <v>199</v>
      </c>
    </row>
    <row r="5" spans="1:19" ht="20.25" customHeight="1">
      <c r="A5" s="379" t="s">
        <v>116</v>
      </c>
      <c r="B5" s="388">
        <f>B2-B4</f>
        <v>3528000</v>
      </c>
      <c r="C5" s="381"/>
      <c r="D5" s="381"/>
      <c r="E5" s="394">
        <v>3</v>
      </c>
      <c r="F5" s="399" t="s">
        <v>245</v>
      </c>
      <c r="G5" s="403">
        <v>10000</v>
      </c>
      <c r="H5" s="408">
        <f t="shared" si="0"/>
        <v>42000</v>
      </c>
      <c r="I5" s="412" t="s">
        <v>251</v>
      </c>
      <c r="O5" s="417" t="s">
        <v>96</v>
      </c>
      <c r="P5" s="417" t="s">
        <v>93</v>
      </c>
      <c r="R5" s="375">
        <v>3</v>
      </c>
      <c r="S5" s="375" t="s">
        <v>224</v>
      </c>
    </row>
    <row r="6" spans="1:19" ht="20.25" customHeight="1">
      <c r="A6" s="380"/>
      <c r="B6" s="389"/>
      <c r="C6" s="381"/>
      <c r="D6" s="381"/>
      <c r="E6" s="394">
        <v>4</v>
      </c>
      <c r="F6" s="399" t="s">
        <v>36</v>
      </c>
      <c r="G6" s="403">
        <v>10000</v>
      </c>
      <c r="H6" s="408">
        <f t="shared" si="0"/>
        <v>42000</v>
      </c>
      <c r="I6" s="412" t="s">
        <v>251</v>
      </c>
      <c r="K6" s="414"/>
      <c r="O6" s="417"/>
      <c r="P6" s="417" t="s">
        <v>96</v>
      </c>
      <c r="R6" s="375">
        <v>4</v>
      </c>
      <c r="S6" s="375" t="s">
        <v>225</v>
      </c>
    </row>
    <row r="7" spans="1:19" ht="20.25" customHeight="1">
      <c r="A7" s="381"/>
      <c r="B7" s="381"/>
      <c r="C7" s="381"/>
      <c r="D7" s="381"/>
      <c r="E7" s="394">
        <v>5</v>
      </c>
      <c r="F7" s="399" t="s">
        <v>218</v>
      </c>
      <c r="G7" s="403">
        <v>10000</v>
      </c>
      <c r="H7" s="408">
        <f t="shared" si="0"/>
        <v>42000</v>
      </c>
      <c r="I7" s="412" t="s">
        <v>251</v>
      </c>
      <c r="K7" s="397"/>
      <c r="P7" s="417"/>
      <c r="S7" s="375" t="s">
        <v>226</v>
      </c>
    </row>
    <row r="8" spans="1:19" ht="20.25" customHeight="1">
      <c r="A8" s="382" t="s">
        <v>145</v>
      </c>
      <c r="B8" s="381"/>
      <c r="C8" s="381"/>
      <c r="D8" s="381"/>
      <c r="E8" s="394">
        <v>6</v>
      </c>
      <c r="F8" s="399" t="s">
        <v>2</v>
      </c>
      <c r="G8" s="403">
        <v>20000</v>
      </c>
      <c r="H8" s="408">
        <f t="shared" si="0"/>
        <v>84000</v>
      </c>
      <c r="I8" s="412" t="s">
        <v>251</v>
      </c>
      <c r="K8" s="397"/>
      <c r="S8" s="375" t="s">
        <v>227</v>
      </c>
    </row>
    <row r="9" spans="1:19" ht="20.25" customHeight="1">
      <c r="A9" s="383" t="s">
        <v>85</v>
      </c>
      <c r="B9" s="390"/>
      <c r="C9" s="381"/>
      <c r="D9" s="381"/>
      <c r="E9" s="394">
        <v>7</v>
      </c>
      <c r="F9" s="399" t="s">
        <v>246</v>
      </c>
      <c r="G9" s="403">
        <v>20000</v>
      </c>
      <c r="H9" s="408">
        <f t="shared" si="0"/>
        <v>84000</v>
      </c>
      <c r="I9" s="412" t="s">
        <v>251</v>
      </c>
      <c r="K9" s="397"/>
    </row>
    <row r="10" spans="1:19" ht="20.25" customHeight="1">
      <c r="A10" s="384"/>
      <c r="B10" s="391"/>
      <c r="C10" s="381"/>
      <c r="D10" s="381"/>
      <c r="E10" s="394">
        <v>8</v>
      </c>
      <c r="F10" s="399" t="s">
        <v>247</v>
      </c>
      <c r="G10" s="403">
        <v>20000</v>
      </c>
      <c r="H10" s="408">
        <f t="shared" si="0"/>
        <v>84000</v>
      </c>
      <c r="I10" s="412" t="s">
        <v>251</v>
      </c>
      <c r="K10" s="414"/>
    </row>
    <row r="11" spans="1:19" ht="20.25" customHeight="1">
      <c r="A11" s="381"/>
      <c r="B11" s="381"/>
      <c r="C11" s="381"/>
      <c r="D11" s="381"/>
      <c r="E11" s="394">
        <v>9</v>
      </c>
      <c r="F11" s="399" t="s">
        <v>248</v>
      </c>
      <c r="G11" s="403">
        <v>20000</v>
      </c>
      <c r="H11" s="408">
        <f t="shared" si="0"/>
        <v>84000</v>
      </c>
      <c r="I11" s="412" t="s">
        <v>251</v>
      </c>
      <c r="K11" s="397"/>
    </row>
    <row r="12" spans="1:19" ht="20.25" customHeight="1">
      <c r="A12" s="382" t="s">
        <v>138</v>
      </c>
      <c r="B12" s="392"/>
      <c r="C12" s="381"/>
      <c r="D12" s="381"/>
      <c r="E12" s="394">
        <v>10</v>
      </c>
      <c r="F12" s="399" t="s">
        <v>249</v>
      </c>
      <c r="G12" s="403">
        <v>20000</v>
      </c>
      <c r="H12" s="408">
        <f t="shared" si="0"/>
        <v>84000</v>
      </c>
      <c r="I12" s="412" t="s">
        <v>251</v>
      </c>
    </row>
    <row r="13" spans="1:19" ht="20.25" customHeight="1">
      <c r="A13" s="383" t="s">
        <v>90</v>
      </c>
      <c r="B13" s="390"/>
      <c r="C13" s="381"/>
      <c r="D13" s="381"/>
      <c r="E13" s="394">
        <v>11</v>
      </c>
      <c r="F13" s="399" t="s">
        <v>180</v>
      </c>
      <c r="G13" s="403">
        <v>30000</v>
      </c>
      <c r="H13" s="408">
        <f t="shared" si="0"/>
        <v>126000</v>
      </c>
      <c r="I13" s="412" t="s">
        <v>251</v>
      </c>
    </row>
    <row r="14" spans="1:19" ht="20.25" customHeight="1">
      <c r="A14" s="384"/>
      <c r="B14" s="391"/>
      <c r="C14" s="381"/>
      <c r="D14" s="381"/>
      <c r="E14" s="394">
        <v>12</v>
      </c>
      <c r="F14" s="399" t="s">
        <v>250</v>
      </c>
      <c r="G14" s="403">
        <v>30000</v>
      </c>
      <c r="H14" s="408">
        <f t="shared" si="0"/>
        <v>126000</v>
      </c>
      <c r="I14" s="412" t="s">
        <v>251</v>
      </c>
    </row>
    <row r="15" spans="1:19" ht="20.25" customHeight="1">
      <c r="A15" s="381"/>
      <c r="B15" s="381"/>
      <c r="C15" s="381"/>
      <c r="D15" s="381"/>
      <c r="E15" s="394">
        <v>13</v>
      </c>
      <c r="F15" s="399"/>
      <c r="G15" s="403"/>
      <c r="H15" s="408"/>
      <c r="I15" s="412"/>
    </row>
    <row r="16" spans="1:19" ht="20.25" customHeight="1">
      <c r="A16" s="381"/>
      <c r="B16" s="381"/>
      <c r="C16" s="381"/>
      <c r="D16" s="381"/>
      <c r="E16" s="394">
        <v>14</v>
      </c>
      <c r="F16" s="399"/>
      <c r="G16" s="404"/>
      <c r="H16" s="409"/>
      <c r="I16" s="412"/>
    </row>
    <row r="17" spans="1:9" ht="20.25" customHeight="1">
      <c r="A17" s="381"/>
      <c r="B17" s="381"/>
      <c r="C17" s="381"/>
      <c r="D17" s="381"/>
      <c r="E17" s="394">
        <v>15</v>
      </c>
      <c r="F17" s="399"/>
      <c r="G17" s="404"/>
      <c r="H17" s="409"/>
      <c r="I17" s="412"/>
    </row>
    <row r="18" spans="1:9" ht="20.25" customHeight="1">
      <c r="A18" s="381"/>
      <c r="B18" s="381"/>
      <c r="C18" s="381"/>
      <c r="D18" s="381"/>
      <c r="E18" s="394">
        <v>16</v>
      </c>
      <c r="F18" s="399"/>
      <c r="G18" s="404"/>
      <c r="H18" s="409"/>
      <c r="I18" s="412"/>
    </row>
    <row r="19" spans="1:9" ht="20.25" customHeight="1">
      <c r="A19" s="381"/>
      <c r="B19" s="381"/>
      <c r="C19" s="381"/>
      <c r="D19" s="381"/>
      <c r="E19" s="394">
        <v>17</v>
      </c>
      <c r="F19" s="399"/>
      <c r="G19" s="404"/>
      <c r="H19" s="409"/>
      <c r="I19" s="412"/>
    </row>
    <row r="20" spans="1:9" ht="20.25" customHeight="1">
      <c r="A20" s="381"/>
      <c r="B20" s="381"/>
      <c r="C20" s="381"/>
      <c r="D20" s="381"/>
      <c r="E20" s="394">
        <v>18</v>
      </c>
      <c r="F20" s="399"/>
      <c r="G20" s="404"/>
      <c r="H20" s="409"/>
      <c r="I20" s="412"/>
    </row>
    <row r="21" spans="1:9" ht="20.25" customHeight="1">
      <c r="A21" s="381"/>
      <c r="B21" s="381"/>
      <c r="C21" s="381"/>
      <c r="D21" s="381"/>
      <c r="E21" s="394">
        <v>19</v>
      </c>
      <c r="F21" s="399"/>
      <c r="G21" s="404"/>
      <c r="H21" s="409"/>
      <c r="I21" s="412"/>
    </row>
    <row r="22" spans="1:9" ht="20.25" customHeight="1">
      <c r="A22" s="381"/>
      <c r="B22" s="381"/>
      <c r="C22" s="381"/>
      <c r="D22" s="381"/>
      <c r="E22" s="394">
        <v>20</v>
      </c>
      <c r="F22" s="399"/>
      <c r="G22" s="404"/>
      <c r="H22" s="409"/>
      <c r="I22" s="412"/>
    </row>
    <row r="23" spans="1:9" ht="20.25" customHeight="1">
      <c r="A23" s="381"/>
      <c r="B23" s="381"/>
      <c r="C23" s="381"/>
      <c r="D23" s="381"/>
      <c r="E23" s="394">
        <v>21</v>
      </c>
      <c r="F23" s="400"/>
      <c r="G23" s="404"/>
      <c r="H23" s="409"/>
      <c r="I23" s="412"/>
    </row>
    <row r="24" spans="1:9" ht="20.25" customHeight="1">
      <c r="A24" s="381"/>
      <c r="B24" s="381"/>
      <c r="C24" s="381"/>
      <c r="D24" s="381"/>
      <c r="E24" s="394">
        <v>22</v>
      </c>
      <c r="F24" s="400"/>
      <c r="G24" s="404"/>
      <c r="H24" s="409"/>
      <c r="I24" s="412"/>
    </row>
    <row r="25" spans="1:9" ht="20.25" customHeight="1">
      <c r="A25" s="381"/>
      <c r="B25" s="381"/>
      <c r="C25" s="381"/>
      <c r="D25" s="381"/>
      <c r="E25" s="394">
        <v>23</v>
      </c>
      <c r="F25" s="400"/>
      <c r="G25" s="404"/>
      <c r="H25" s="409"/>
      <c r="I25" s="412"/>
    </row>
    <row r="26" spans="1:9" ht="20.25" customHeight="1">
      <c r="A26" s="381"/>
      <c r="B26" s="381"/>
      <c r="C26" s="381"/>
      <c r="D26" s="381"/>
      <c r="E26" s="394">
        <v>24</v>
      </c>
      <c r="F26" s="400"/>
      <c r="G26" s="404"/>
      <c r="H26" s="409"/>
      <c r="I26" s="412"/>
    </row>
    <row r="27" spans="1:9" ht="20.25" customHeight="1">
      <c r="A27" s="381"/>
      <c r="B27" s="381"/>
      <c r="C27" s="381"/>
      <c r="D27" s="381"/>
      <c r="E27" s="394">
        <v>25</v>
      </c>
      <c r="F27" s="400"/>
      <c r="G27" s="404"/>
      <c r="H27" s="409"/>
      <c r="I27" s="412"/>
    </row>
    <row r="28" spans="1:9" ht="20.25" customHeight="1">
      <c r="A28" s="381"/>
      <c r="B28" s="381"/>
      <c r="C28" s="381"/>
      <c r="D28" s="381"/>
      <c r="E28" s="394">
        <v>26</v>
      </c>
      <c r="F28" s="400"/>
      <c r="G28" s="404"/>
      <c r="H28" s="409"/>
      <c r="I28" s="412"/>
    </row>
    <row r="29" spans="1:9" ht="20.25" customHeight="1">
      <c r="A29" s="381"/>
      <c r="B29" s="381"/>
      <c r="C29" s="381"/>
      <c r="D29" s="381"/>
      <c r="E29" s="394">
        <v>27</v>
      </c>
      <c r="F29" s="400"/>
      <c r="G29" s="404"/>
      <c r="H29" s="409"/>
      <c r="I29" s="412"/>
    </row>
    <row r="30" spans="1:9" ht="20.25" customHeight="1">
      <c r="A30" s="381"/>
      <c r="B30" s="381"/>
      <c r="C30" s="381"/>
      <c r="D30" s="381"/>
      <c r="E30" s="394">
        <v>28</v>
      </c>
      <c r="F30" s="400"/>
      <c r="G30" s="404"/>
      <c r="H30" s="409"/>
      <c r="I30" s="412"/>
    </row>
    <row r="31" spans="1:9" ht="20.25" customHeight="1">
      <c r="A31" s="381"/>
      <c r="B31" s="381"/>
      <c r="C31" s="381"/>
      <c r="D31" s="381"/>
      <c r="E31" s="394">
        <v>29</v>
      </c>
      <c r="F31" s="400"/>
      <c r="G31" s="404"/>
      <c r="H31" s="409"/>
      <c r="I31" s="412"/>
    </row>
    <row r="32" spans="1:9" ht="20.25" customHeight="1">
      <c r="A32" s="381"/>
      <c r="B32" s="381"/>
      <c r="C32" s="381"/>
      <c r="D32" s="381"/>
      <c r="E32" s="395">
        <v>30</v>
      </c>
      <c r="F32" s="401"/>
      <c r="G32" s="405"/>
      <c r="H32" s="410"/>
      <c r="I32" s="413"/>
    </row>
    <row r="33" spans="5:8" ht="20.25" customHeight="1">
      <c r="E33" s="396" t="s">
        <v>112</v>
      </c>
      <c r="F33" s="402"/>
      <c r="G33" s="406">
        <f>SUM(G3:G32)</f>
        <v>210000</v>
      </c>
      <c r="H33" s="411">
        <f>SUM(H3:H32)</f>
        <v>882000</v>
      </c>
    </row>
    <row r="34" spans="5:8">
      <c r="E34" s="397"/>
      <c r="F34" s="397"/>
      <c r="G34" s="397"/>
      <c r="H34" s="397"/>
    </row>
    <row r="35" spans="5:8">
      <c r="E35" s="397"/>
      <c r="F35" s="397"/>
      <c r="G35" s="397"/>
      <c r="H35" s="397"/>
    </row>
    <row r="36" spans="5:8">
      <c r="E36" s="397"/>
      <c r="F36" s="397"/>
      <c r="G36" s="397"/>
      <c r="H36" s="397"/>
    </row>
    <row r="37" spans="5:8">
      <c r="E37" s="397"/>
      <c r="F37" s="397"/>
      <c r="G37" s="397"/>
      <c r="H37" s="397"/>
    </row>
    <row r="38" spans="5:8">
      <c r="E38" s="397"/>
      <c r="F38" s="397"/>
      <c r="G38" s="397"/>
      <c r="H38" s="397"/>
    </row>
    <row r="39" spans="5:8">
      <c r="E39" s="397"/>
      <c r="F39" s="397"/>
      <c r="G39" s="397"/>
      <c r="H39" s="397"/>
    </row>
    <row r="40" spans="5:8">
      <c r="E40" s="397"/>
      <c r="F40" s="397"/>
      <c r="G40" s="397"/>
      <c r="H40" s="397"/>
    </row>
    <row r="41" spans="5:8">
      <c r="E41" s="397"/>
      <c r="F41" s="397"/>
      <c r="G41" s="397"/>
      <c r="H41" s="397"/>
    </row>
    <row r="42" spans="5:8">
      <c r="E42" s="397"/>
      <c r="F42" s="397"/>
      <c r="G42" s="397"/>
      <c r="H42" s="397"/>
    </row>
    <row r="43" spans="5:8">
      <c r="E43" s="397"/>
      <c r="F43" s="397"/>
      <c r="G43" s="397"/>
      <c r="H43" s="397"/>
    </row>
    <row r="44" spans="5:8">
      <c r="E44" s="397"/>
      <c r="F44" s="397"/>
      <c r="G44" s="397"/>
      <c r="H44" s="397"/>
    </row>
    <row r="45" spans="5:8">
      <c r="E45" s="397"/>
      <c r="F45" s="397"/>
      <c r="G45" s="397"/>
      <c r="H45" s="397"/>
    </row>
    <row r="46" spans="5:8">
      <c r="E46" s="397"/>
      <c r="F46" s="397"/>
      <c r="G46" s="397"/>
      <c r="H46" s="397"/>
    </row>
    <row r="47" spans="5:8">
      <c r="E47" s="397"/>
      <c r="F47" s="397"/>
      <c r="G47" s="397"/>
      <c r="H47" s="397"/>
    </row>
    <row r="48" spans="5:8">
      <c r="E48" s="397"/>
      <c r="F48" s="397"/>
      <c r="G48" s="397"/>
      <c r="H48" s="397"/>
    </row>
    <row r="49" spans="5:8">
      <c r="E49" s="397"/>
      <c r="F49" s="397"/>
      <c r="G49" s="397"/>
      <c r="H49" s="397"/>
    </row>
    <row r="50" spans="5:8">
      <c r="E50" s="397"/>
      <c r="F50" s="397"/>
      <c r="G50" s="397"/>
      <c r="H50" s="397"/>
    </row>
    <row r="51" spans="5:8">
      <c r="E51" s="397"/>
      <c r="F51" s="397"/>
      <c r="G51" s="397"/>
      <c r="H51" s="397"/>
    </row>
    <row r="52" spans="5:8">
      <c r="E52" s="397"/>
      <c r="F52" s="397"/>
      <c r="G52" s="397"/>
      <c r="H52" s="397"/>
    </row>
    <row r="53" spans="5:8">
      <c r="E53" s="397"/>
      <c r="F53" s="397"/>
      <c r="G53" s="397"/>
      <c r="H53" s="397"/>
    </row>
    <row r="54" spans="5:8">
      <c r="E54" s="397"/>
      <c r="F54" s="397"/>
      <c r="G54" s="397"/>
      <c r="H54" s="397"/>
    </row>
    <row r="55" spans="5:8">
      <c r="E55" s="397"/>
      <c r="F55" s="397"/>
      <c r="G55" s="397"/>
      <c r="H55" s="397"/>
    </row>
    <row r="56" spans="5:8">
      <c r="E56" s="397"/>
      <c r="F56" s="397"/>
      <c r="G56" s="397"/>
      <c r="H56" s="397"/>
    </row>
    <row r="57" spans="5:8">
      <c r="E57" s="397"/>
      <c r="F57" s="397"/>
      <c r="G57" s="397"/>
      <c r="H57" s="397"/>
    </row>
    <row r="58" spans="5:8">
      <c r="E58" s="397"/>
      <c r="F58" s="397"/>
      <c r="G58" s="397"/>
      <c r="H58" s="397"/>
    </row>
    <row r="59" spans="5:8">
      <c r="E59" s="397"/>
      <c r="F59" s="397"/>
      <c r="G59" s="397"/>
      <c r="H59" s="397"/>
    </row>
    <row r="60" spans="5:8">
      <c r="E60" s="397"/>
      <c r="F60" s="397"/>
      <c r="G60" s="397"/>
      <c r="H60" s="397"/>
    </row>
    <row r="61" spans="5:8">
      <c r="E61" s="397"/>
      <c r="F61" s="397"/>
      <c r="G61" s="397"/>
      <c r="H61" s="397"/>
    </row>
    <row r="62" spans="5:8">
      <c r="E62" s="397"/>
      <c r="F62" s="397"/>
      <c r="G62" s="397"/>
      <c r="H62" s="397"/>
    </row>
    <row r="63" spans="5:8">
      <c r="E63" s="397"/>
      <c r="F63" s="397"/>
      <c r="G63" s="397"/>
      <c r="H63" s="397"/>
    </row>
    <row r="64" spans="5:8">
      <c r="E64" s="397"/>
      <c r="F64" s="397"/>
      <c r="G64" s="397"/>
      <c r="H64" s="397"/>
    </row>
  </sheetData>
  <mergeCells count="3">
    <mergeCell ref="E33:F33"/>
    <mergeCell ref="A9:B10"/>
    <mergeCell ref="A13:B14"/>
  </mergeCells>
  <phoneticPr fontId="9"/>
  <dataValidations count="2">
    <dataValidation type="list" allowBlank="1" showDropDown="0" showInputMessage="1" showErrorMessage="1" sqref="A13:B13">
      <formula1>$P$3:$P$7</formula1>
    </dataValidation>
    <dataValidation type="list" allowBlank="1" showDropDown="0" showInputMessage="1" showErrorMessage="1" sqref="A9">
      <formula1>$O$3:$O$6</formula1>
    </dataValidation>
  </dataValidations>
  <pageMargins left="0.78740157480314965" right="0.39370078740157483" top="0.98425196850393704" bottom="0.98425196850393704" header="0.51181102362204722" footer="0.51181102362204722"/>
  <pageSetup paperSize="9" scale="88" fitToWidth="1" fitToHeight="0" orientation="portrait" usePrinterDefaults="1" r:id="rId1"/>
  <headerFooter alignWithMargins="0">
    <oddHeader>&amp;L&amp;20資料１&amp;C&amp;20参加者・面積・個人配分の内訳</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A1:AD122"/>
  <sheetViews>
    <sheetView showZeros="0" view="pageBreakPreview" zoomScale="75" zoomScaleNormal="75" zoomScaleSheetLayoutView="75" workbookViewId="0">
      <selection activeCell="H7" sqref="H7"/>
    </sheetView>
  </sheetViews>
  <sheetFormatPr defaultRowHeight="14.25"/>
  <cols>
    <col min="1" max="1" width="29.375" style="381" customWidth="1"/>
    <col min="2" max="2" width="18.75" style="419" customWidth="1"/>
    <col min="3" max="5" width="11.375" style="381" customWidth="1"/>
    <col min="6" max="6" width="9.375" style="381" customWidth="1"/>
    <col min="7" max="7" width="29.375" style="381" customWidth="1"/>
    <col min="8" max="8" width="18.75" style="419" customWidth="1"/>
    <col min="9" max="11" width="11.5" style="381" customWidth="1"/>
    <col min="12" max="12" width="9.375" style="381" customWidth="1"/>
    <col min="13" max="13" width="29.375" style="381" customWidth="1"/>
    <col min="14" max="14" width="18.75" style="419" customWidth="1"/>
    <col min="15" max="17" width="11.375" style="381" customWidth="1"/>
    <col min="18" max="18" width="9.375" style="381" customWidth="1"/>
    <col min="19" max="21" width="9" style="381" customWidth="1"/>
    <col min="22" max="24" width="9.625" style="381" customWidth="1"/>
    <col min="25" max="16384" width="9" style="381" customWidth="1"/>
  </cols>
  <sheetData>
    <row r="1" spans="1:30" ht="35.25" customHeight="1">
      <c r="Y1" s="442">
        <v>4</v>
      </c>
      <c r="Z1" s="442">
        <v>5</v>
      </c>
      <c r="AA1" s="442">
        <v>6</v>
      </c>
      <c r="AB1" s="442">
        <v>7</v>
      </c>
      <c r="AC1" s="442">
        <v>8</v>
      </c>
      <c r="AD1" s="442">
        <v>9</v>
      </c>
    </row>
    <row r="2" spans="1:30" ht="30" customHeight="1">
      <c r="A2" s="376" t="s">
        <v>109</v>
      </c>
      <c r="B2" s="389"/>
      <c r="C2" s="392"/>
      <c r="D2" s="392"/>
      <c r="E2" s="392"/>
      <c r="F2" s="392"/>
      <c r="G2" s="422" t="s">
        <v>124</v>
      </c>
      <c r="I2" s="392"/>
      <c r="J2" s="392"/>
      <c r="K2" s="392"/>
      <c r="M2" s="422" t="s">
        <v>121</v>
      </c>
      <c r="O2" s="392"/>
      <c r="P2" s="392"/>
      <c r="Q2" s="392"/>
      <c r="V2" s="440" t="s">
        <v>164</v>
      </c>
      <c r="W2" s="440" t="s">
        <v>165</v>
      </c>
      <c r="X2" s="441" t="s">
        <v>70</v>
      </c>
      <c r="Y2" s="380" t="s">
        <v>110</v>
      </c>
      <c r="Z2" s="446" t="s">
        <v>111</v>
      </c>
      <c r="AA2" s="429" t="s">
        <v>127</v>
      </c>
      <c r="AB2" s="429" t="s">
        <v>129</v>
      </c>
      <c r="AC2" s="429" t="s">
        <v>130</v>
      </c>
      <c r="AD2" s="429"/>
    </row>
    <row r="3" spans="1:30" ht="30" customHeight="1">
      <c r="A3" s="399" t="s">
        <v>110</v>
      </c>
      <c r="B3" s="424" t="s">
        <v>111</v>
      </c>
      <c r="C3" s="427" t="s">
        <v>127</v>
      </c>
      <c r="D3" s="429"/>
      <c r="E3" s="429"/>
      <c r="F3" s="392"/>
      <c r="G3" s="399" t="s">
        <v>110</v>
      </c>
      <c r="H3" s="424" t="s">
        <v>111</v>
      </c>
      <c r="I3" s="427" t="s">
        <v>127</v>
      </c>
      <c r="J3" s="427" t="s">
        <v>129</v>
      </c>
      <c r="K3" s="427" t="s">
        <v>130</v>
      </c>
      <c r="M3" s="399" t="s">
        <v>110</v>
      </c>
      <c r="N3" s="424" t="s">
        <v>111</v>
      </c>
      <c r="O3" s="427" t="s">
        <v>127</v>
      </c>
      <c r="P3" s="427" t="s">
        <v>129</v>
      </c>
      <c r="T3" s="439" t="s">
        <v>120</v>
      </c>
      <c r="U3" s="439"/>
      <c r="V3" s="381">
        <f>IF($AA3="○",COUNTIF($AA$3,"○"),"")</f>
        <v>1</v>
      </c>
      <c r="W3" s="381" t="str">
        <f>IF($AB3="○",COUNTIF($AB$3,"○"),"")</f>
        <v/>
      </c>
      <c r="X3" s="381" t="str">
        <f>IF($AC3="○",COUNTIF($AC$3,"○"),"")</f>
        <v/>
      </c>
      <c r="Y3" s="443" t="str">
        <f t="shared" ref="Y3:AA22" si="0">A4</f>
        <v>役員報酬</v>
      </c>
      <c r="Z3" s="447">
        <f t="shared" si="0"/>
        <v>10000</v>
      </c>
      <c r="AA3" s="447" t="str">
        <f t="shared" si="0"/>
        <v>○</v>
      </c>
      <c r="AB3" s="447"/>
      <c r="AC3" s="449"/>
      <c r="AD3" s="381" t="s">
        <v>56</v>
      </c>
    </row>
    <row r="4" spans="1:30" ht="21" customHeight="1">
      <c r="A4" s="420" t="s">
        <v>242</v>
      </c>
      <c r="B4" s="403">
        <v>10000</v>
      </c>
      <c r="C4" s="428" t="s">
        <v>195</v>
      </c>
      <c r="D4" s="380"/>
      <c r="E4" s="380"/>
      <c r="F4" s="392"/>
      <c r="G4" s="420" t="s">
        <v>231</v>
      </c>
      <c r="H4" s="403">
        <v>3300000</v>
      </c>
      <c r="I4" s="428"/>
      <c r="J4" s="428"/>
      <c r="K4" s="428" t="s">
        <v>195</v>
      </c>
      <c r="M4" s="420" t="s">
        <v>255</v>
      </c>
      <c r="N4" s="403">
        <v>5000</v>
      </c>
      <c r="O4" s="428" t="s">
        <v>195</v>
      </c>
      <c r="P4" s="428"/>
      <c r="T4" s="400" t="s">
        <v>195</v>
      </c>
      <c r="U4" s="392"/>
      <c r="V4" s="381" t="str">
        <f>IF($AA4="○",COUNTIF($AA$3:$AA4,"○"),"")</f>
        <v/>
      </c>
      <c r="W4" s="381" t="str">
        <f>IF($AB4="○",COUNTIF($AB$3:$AB4,"○"),"")</f>
        <v/>
      </c>
      <c r="X4" s="381" t="str">
        <f>IF($AC4="○",COUNTIF($AC$3:$AC4,"○"),"")</f>
        <v/>
      </c>
      <c r="Y4" s="444">
        <f t="shared" si="0"/>
        <v>0</v>
      </c>
      <c r="Z4" s="381">
        <f t="shared" si="0"/>
        <v>0</v>
      </c>
      <c r="AA4" s="381">
        <f t="shared" si="0"/>
        <v>0</v>
      </c>
      <c r="AC4" s="450"/>
      <c r="AD4" s="381" t="s">
        <v>56</v>
      </c>
    </row>
    <row r="5" spans="1:30" ht="21" customHeight="1">
      <c r="A5" s="420"/>
      <c r="B5" s="403"/>
      <c r="C5" s="428"/>
      <c r="D5" s="380"/>
      <c r="E5" s="380"/>
      <c r="F5" s="392"/>
      <c r="G5" s="420" t="s">
        <v>233</v>
      </c>
      <c r="H5" s="403">
        <v>2500000</v>
      </c>
      <c r="I5" s="428"/>
      <c r="J5" s="428"/>
      <c r="K5" s="428" t="s">
        <v>195</v>
      </c>
      <c r="M5" s="420" t="s">
        <v>256</v>
      </c>
      <c r="N5" s="403">
        <v>5000</v>
      </c>
      <c r="O5" s="428" t="s">
        <v>195</v>
      </c>
      <c r="P5" s="428"/>
      <c r="T5" s="400"/>
      <c r="U5" s="392"/>
      <c r="V5" s="381" t="str">
        <f>IF($AA5="○",COUNTIF($AA$3:$AA5,"○"),"")</f>
        <v/>
      </c>
      <c r="W5" s="381" t="str">
        <f>IF($AB5="○",COUNTIF($AB$3:$AB5,"○"),"")</f>
        <v/>
      </c>
      <c r="X5" s="381" t="str">
        <f>IF($AC5="○",COUNTIF($AC$3:$AC5,"○"),"")</f>
        <v/>
      </c>
      <c r="Y5" s="444">
        <f t="shared" si="0"/>
        <v>0</v>
      </c>
      <c r="Z5" s="381">
        <f t="shared" si="0"/>
        <v>0</v>
      </c>
      <c r="AA5" s="381">
        <f t="shared" si="0"/>
        <v>0</v>
      </c>
      <c r="AC5" s="450"/>
      <c r="AD5" s="381" t="s">
        <v>56</v>
      </c>
    </row>
    <row r="6" spans="1:30" ht="21" customHeight="1">
      <c r="A6" s="420"/>
      <c r="B6" s="403"/>
      <c r="C6" s="428"/>
      <c r="D6" s="380"/>
      <c r="E6" s="380"/>
      <c r="F6" s="392"/>
      <c r="G6" s="420" t="s">
        <v>234</v>
      </c>
      <c r="H6" s="403">
        <v>600000</v>
      </c>
      <c r="I6" s="428"/>
      <c r="J6" s="428"/>
      <c r="K6" s="428" t="s">
        <v>195</v>
      </c>
      <c r="M6" s="420"/>
      <c r="N6" s="403"/>
      <c r="O6" s="428"/>
      <c r="P6" s="428"/>
      <c r="V6" s="381" t="str">
        <f>IF($AA6="○",COUNTIF($AA$3:$AA6,"○"),"")</f>
        <v/>
      </c>
      <c r="W6" s="381" t="str">
        <f>IF($AB6="○",COUNTIF($AB$3:$AB6,"○"),"")</f>
        <v/>
      </c>
      <c r="X6" s="381" t="str">
        <f>IF($AC6="○",COUNTIF($AC$3:$AC6,"○"),"")</f>
        <v/>
      </c>
      <c r="Y6" s="444">
        <f t="shared" si="0"/>
        <v>0</v>
      </c>
      <c r="Z6" s="381">
        <f t="shared" si="0"/>
        <v>0</v>
      </c>
      <c r="AA6" s="381">
        <f t="shared" si="0"/>
        <v>0</v>
      </c>
      <c r="AC6" s="450"/>
      <c r="AD6" s="381" t="s">
        <v>56</v>
      </c>
    </row>
    <row r="7" spans="1:30" ht="21" customHeight="1">
      <c r="A7" s="420"/>
      <c r="B7" s="403"/>
      <c r="C7" s="428"/>
      <c r="D7" s="380"/>
      <c r="E7" s="380"/>
      <c r="F7" s="392"/>
      <c r="G7" s="420" t="s">
        <v>204</v>
      </c>
      <c r="H7" s="403">
        <v>1500000</v>
      </c>
      <c r="I7" s="428"/>
      <c r="J7" s="428"/>
      <c r="K7" s="428" t="s">
        <v>195</v>
      </c>
      <c r="M7" s="420"/>
      <c r="N7" s="403"/>
      <c r="O7" s="428"/>
      <c r="P7" s="428"/>
      <c r="V7" s="381" t="str">
        <f>IF($AA7="○",COUNTIF($AA$3:$AA7,"○"),"")</f>
        <v/>
      </c>
      <c r="W7" s="381" t="str">
        <f>IF($AB7="○",COUNTIF($AB$3:$AB7,"○"),"")</f>
        <v/>
      </c>
      <c r="X7" s="381" t="str">
        <f>IF($AC7="○",COUNTIF($AC$3:$AC7,"○"),"")</f>
        <v/>
      </c>
      <c r="Y7" s="444">
        <f t="shared" si="0"/>
        <v>0</v>
      </c>
      <c r="Z7" s="381">
        <f t="shared" si="0"/>
        <v>0</v>
      </c>
      <c r="AA7" s="381">
        <f t="shared" si="0"/>
        <v>0</v>
      </c>
      <c r="AC7" s="450"/>
      <c r="AD7" s="381" t="s">
        <v>56</v>
      </c>
    </row>
    <row r="8" spans="1:30" ht="21" customHeight="1">
      <c r="A8" s="420"/>
      <c r="B8" s="403"/>
      <c r="C8" s="428"/>
      <c r="D8" s="380"/>
      <c r="E8" s="380"/>
      <c r="F8" s="392"/>
      <c r="G8" s="420"/>
      <c r="H8" s="403"/>
      <c r="I8" s="428"/>
      <c r="J8" s="428"/>
      <c r="K8" s="428"/>
      <c r="M8" s="420"/>
      <c r="N8" s="403"/>
      <c r="O8" s="428"/>
      <c r="P8" s="428"/>
      <c r="V8" s="381" t="str">
        <f>IF($AA8="○",COUNTIF($AA$3:$AA8,"○"),"")</f>
        <v/>
      </c>
      <c r="W8" s="381" t="str">
        <f>IF($AB8="○",COUNTIF($AB$3:$AB8,"○"),"")</f>
        <v/>
      </c>
      <c r="X8" s="381" t="str">
        <f>IF($AC8="○",COUNTIF($AC$3:$AC8,"○"),"")</f>
        <v/>
      </c>
      <c r="Y8" s="444">
        <f t="shared" si="0"/>
        <v>0</v>
      </c>
      <c r="Z8" s="381">
        <f t="shared" si="0"/>
        <v>0</v>
      </c>
      <c r="AA8" s="381">
        <f t="shared" si="0"/>
        <v>0</v>
      </c>
      <c r="AC8" s="450"/>
      <c r="AD8" s="381" t="s">
        <v>56</v>
      </c>
    </row>
    <row r="9" spans="1:30" ht="21" customHeight="1">
      <c r="A9" s="420"/>
      <c r="B9" s="403"/>
      <c r="C9" s="428"/>
      <c r="D9" s="380"/>
      <c r="E9" s="380"/>
      <c r="F9" s="392"/>
      <c r="G9" s="420" t="s">
        <v>252</v>
      </c>
      <c r="H9" s="403">
        <v>10000</v>
      </c>
      <c r="I9" s="428" t="s">
        <v>195</v>
      </c>
      <c r="J9" s="428"/>
      <c r="K9" s="428"/>
      <c r="M9" s="420"/>
      <c r="N9" s="403"/>
      <c r="O9" s="428"/>
      <c r="P9" s="428"/>
      <c r="V9" s="381" t="str">
        <f>IF($AA9="○",COUNTIF($AA$3:$AA9,"○"),"")</f>
        <v/>
      </c>
      <c r="W9" s="381" t="str">
        <f>IF($AB9="○",COUNTIF($AB$3:$AB9,"○"),"")</f>
        <v/>
      </c>
      <c r="X9" s="381" t="str">
        <f>IF($AC9="○",COUNTIF($AC$3:$AC9,"○"),"")</f>
        <v/>
      </c>
      <c r="Y9" s="444">
        <f t="shared" si="0"/>
        <v>0</v>
      </c>
      <c r="Z9" s="381">
        <f t="shared" si="0"/>
        <v>0</v>
      </c>
      <c r="AA9" s="381">
        <f t="shared" si="0"/>
        <v>0</v>
      </c>
      <c r="AC9" s="450"/>
      <c r="AD9" s="381" t="s">
        <v>56</v>
      </c>
    </row>
    <row r="10" spans="1:30" ht="21" customHeight="1">
      <c r="A10" s="420"/>
      <c r="B10" s="403"/>
      <c r="C10" s="428"/>
      <c r="D10" s="380"/>
      <c r="E10" s="380"/>
      <c r="F10" s="392"/>
      <c r="G10" s="420" t="s">
        <v>253</v>
      </c>
      <c r="H10" s="403">
        <v>5000</v>
      </c>
      <c r="I10" s="428"/>
      <c r="J10" s="428"/>
      <c r="K10" s="428"/>
      <c r="M10" s="420"/>
      <c r="N10" s="403"/>
      <c r="O10" s="428"/>
      <c r="P10" s="428"/>
      <c r="V10" s="381" t="str">
        <f>IF($AA10="○",COUNTIF($AA$3:$AA10,"○"),"")</f>
        <v/>
      </c>
      <c r="W10" s="381" t="str">
        <f>IF($AB10="○",COUNTIF($AB$3:$AB10,"○"),"")</f>
        <v/>
      </c>
      <c r="X10" s="381" t="str">
        <f>IF($AC10="○",COUNTIF($AC$3:$AC10,"○"),"")</f>
        <v/>
      </c>
      <c r="Y10" s="444">
        <f t="shared" si="0"/>
        <v>0</v>
      </c>
      <c r="Z10" s="381">
        <f t="shared" si="0"/>
        <v>0</v>
      </c>
      <c r="AA10" s="381">
        <f t="shared" si="0"/>
        <v>0</v>
      </c>
      <c r="AC10" s="450"/>
      <c r="AD10" s="381" t="s">
        <v>56</v>
      </c>
    </row>
    <row r="11" spans="1:30" ht="21" customHeight="1">
      <c r="A11" s="420"/>
      <c r="B11" s="403"/>
      <c r="C11" s="428"/>
      <c r="D11" s="380"/>
      <c r="E11" s="380"/>
      <c r="F11" s="392"/>
      <c r="G11" s="420" t="s">
        <v>254</v>
      </c>
      <c r="H11" s="403">
        <v>5000</v>
      </c>
      <c r="I11" s="428"/>
      <c r="J11" s="428"/>
      <c r="K11" s="428"/>
      <c r="M11" s="420"/>
      <c r="N11" s="403"/>
      <c r="O11" s="428"/>
      <c r="P11" s="428"/>
      <c r="V11" s="381" t="str">
        <f>IF($AA11="○",COUNTIF($AA$3:$AA11,"○"),"")</f>
        <v/>
      </c>
      <c r="W11" s="381" t="str">
        <f>IF($AB11="○",COUNTIF($AB$3:$AB11,"○"),"")</f>
        <v/>
      </c>
      <c r="X11" s="381" t="str">
        <f>IF($AC11="○",COUNTIF($AC$3:$AC11,"○"),"")</f>
        <v/>
      </c>
      <c r="Y11" s="444">
        <f t="shared" si="0"/>
        <v>0</v>
      </c>
      <c r="Z11" s="381">
        <f t="shared" si="0"/>
        <v>0</v>
      </c>
      <c r="AA11" s="381">
        <f t="shared" si="0"/>
        <v>0</v>
      </c>
      <c r="AC11" s="450"/>
      <c r="AD11" s="381" t="s">
        <v>56</v>
      </c>
    </row>
    <row r="12" spans="1:30" ht="21" customHeight="1">
      <c r="A12" s="420"/>
      <c r="B12" s="403"/>
      <c r="C12" s="428"/>
      <c r="D12" s="380"/>
      <c r="E12" s="380"/>
      <c r="F12" s="392"/>
      <c r="G12" s="420"/>
      <c r="H12" s="403"/>
      <c r="I12" s="428"/>
      <c r="J12" s="428"/>
      <c r="K12" s="428"/>
      <c r="M12" s="420"/>
      <c r="N12" s="403"/>
      <c r="O12" s="428"/>
      <c r="P12" s="428"/>
      <c r="V12" s="381" t="str">
        <f>IF($AA12="○",COUNTIF($AA$3:$AA12,"○"),"")</f>
        <v/>
      </c>
      <c r="W12" s="381" t="str">
        <f>IF($AB12="○",COUNTIF($AB$3:$AB12,"○"),"")</f>
        <v/>
      </c>
      <c r="X12" s="381" t="str">
        <f>IF($AC12="○",COUNTIF($AC$3:$AC12,"○"),"")</f>
        <v/>
      </c>
      <c r="Y12" s="444">
        <f t="shared" si="0"/>
        <v>0</v>
      </c>
      <c r="Z12" s="381">
        <f t="shared" si="0"/>
        <v>0</v>
      </c>
      <c r="AA12" s="381">
        <f t="shared" si="0"/>
        <v>0</v>
      </c>
      <c r="AC12" s="450"/>
      <c r="AD12" s="381" t="s">
        <v>56</v>
      </c>
    </row>
    <row r="13" spans="1:30" ht="21" customHeight="1">
      <c r="A13" s="420"/>
      <c r="B13" s="403"/>
      <c r="C13" s="428"/>
      <c r="D13" s="380"/>
      <c r="E13" s="380"/>
      <c r="F13" s="392"/>
      <c r="G13" s="420"/>
      <c r="H13" s="403"/>
      <c r="I13" s="428"/>
      <c r="J13" s="428"/>
      <c r="K13" s="428"/>
      <c r="M13" s="420"/>
      <c r="N13" s="403"/>
      <c r="O13" s="428"/>
      <c r="P13" s="428"/>
      <c r="V13" s="381" t="str">
        <f>IF($AA13="○",COUNTIF($AA$3:$AA13,"○"),"")</f>
        <v/>
      </c>
      <c r="W13" s="381" t="str">
        <f>IF($AB13="○",COUNTIF($AB$3:$AB13,"○"),"")</f>
        <v/>
      </c>
      <c r="X13" s="381" t="str">
        <f>IF($AC13="○",COUNTIF($AC$3:$AC13,"○"),"")</f>
        <v/>
      </c>
      <c r="Y13" s="444">
        <f t="shared" si="0"/>
        <v>0</v>
      </c>
      <c r="Z13" s="381">
        <f t="shared" si="0"/>
        <v>0</v>
      </c>
      <c r="AA13" s="381">
        <f t="shared" si="0"/>
        <v>0</v>
      </c>
      <c r="AC13" s="450"/>
      <c r="AD13" s="381" t="s">
        <v>56</v>
      </c>
    </row>
    <row r="14" spans="1:30" ht="21" customHeight="1">
      <c r="A14" s="420"/>
      <c r="B14" s="403"/>
      <c r="C14" s="428"/>
      <c r="D14" s="380"/>
      <c r="E14" s="380"/>
      <c r="F14" s="392"/>
      <c r="G14" s="420"/>
      <c r="H14" s="403"/>
      <c r="I14" s="428"/>
      <c r="J14" s="428"/>
      <c r="K14" s="428"/>
      <c r="M14" s="420"/>
      <c r="N14" s="403"/>
      <c r="O14" s="428"/>
      <c r="P14" s="428"/>
      <c r="V14" s="381" t="str">
        <f>IF($AA14="○",COUNTIF($AA$3:$AA14,"○"),"")</f>
        <v/>
      </c>
      <c r="W14" s="381" t="str">
        <f>IF($AB14="○",COUNTIF($AB$3:$AB14,"○"),"")</f>
        <v/>
      </c>
      <c r="X14" s="381" t="str">
        <f>IF($AC14="○",COUNTIF($AC$3:$AC14,"○"),"")</f>
        <v/>
      </c>
      <c r="Y14" s="444">
        <f t="shared" si="0"/>
        <v>0</v>
      </c>
      <c r="Z14" s="381">
        <f t="shared" si="0"/>
        <v>0</v>
      </c>
      <c r="AA14" s="381">
        <f t="shared" si="0"/>
        <v>0</v>
      </c>
      <c r="AC14" s="450"/>
      <c r="AD14" s="381" t="s">
        <v>56</v>
      </c>
    </row>
    <row r="15" spans="1:30" ht="21" customHeight="1">
      <c r="A15" s="420"/>
      <c r="B15" s="403"/>
      <c r="C15" s="428"/>
      <c r="D15" s="380"/>
      <c r="E15" s="380"/>
      <c r="F15" s="392"/>
      <c r="G15" s="420"/>
      <c r="H15" s="403"/>
      <c r="I15" s="428"/>
      <c r="J15" s="428"/>
      <c r="K15" s="428"/>
      <c r="M15" s="420"/>
      <c r="N15" s="403"/>
      <c r="O15" s="428"/>
      <c r="P15" s="428"/>
      <c r="V15" s="381" t="str">
        <f>IF($AA15="○",COUNTIF($AA$3:$AA15,"○"),"")</f>
        <v/>
      </c>
      <c r="W15" s="381" t="str">
        <f>IF($AB15="○",COUNTIF($AB$3:$AB15,"○"),"")</f>
        <v/>
      </c>
      <c r="X15" s="381" t="str">
        <f>IF($AC15="○",COUNTIF($AC$3:$AC15,"○"),"")</f>
        <v/>
      </c>
      <c r="Y15" s="444">
        <f t="shared" si="0"/>
        <v>0</v>
      </c>
      <c r="Z15" s="381">
        <f t="shared" si="0"/>
        <v>0</v>
      </c>
      <c r="AA15" s="381">
        <f t="shared" si="0"/>
        <v>0</v>
      </c>
      <c r="AC15" s="450"/>
      <c r="AD15" s="381" t="s">
        <v>56</v>
      </c>
    </row>
    <row r="16" spans="1:30" ht="21" customHeight="1">
      <c r="A16" s="420"/>
      <c r="B16" s="403"/>
      <c r="C16" s="428"/>
      <c r="D16" s="380"/>
      <c r="E16" s="380"/>
      <c r="F16" s="392"/>
      <c r="G16" s="420"/>
      <c r="H16" s="403"/>
      <c r="I16" s="428"/>
      <c r="J16" s="428"/>
      <c r="K16" s="428"/>
      <c r="M16" s="420"/>
      <c r="N16" s="403"/>
      <c r="O16" s="428"/>
      <c r="P16" s="428"/>
      <c r="V16" s="381" t="str">
        <f>IF($AA16="○",COUNTIF($AA$3:$AA16,"○"),"")</f>
        <v/>
      </c>
      <c r="W16" s="381" t="str">
        <f>IF($AB16="○",COUNTIF($AB$3:$AB16,"○"),"")</f>
        <v/>
      </c>
      <c r="X16" s="381" t="str">
        <f>IF($AC16="○",COUNTIF($AC$3:$AC16,"○"),"")</f>
        <v/>
      </c>
      <c r="Y16" s="444">
        <f t="shared" si="0"/>
        <v>0</v>
      </c>
      <c r="Z16" s="381">
        <f t="shared" si="0"/>
        <v>0</v>
      </c>
      <c r="AA16" s="381">
        <f t="shared" si="0"/>
        <v>0</v>
      </c>
      <c r="AC16" s="450"/>
      <c r="AD16" s="381" t="s">
        <v>56</v>
      </c>
    </row>
    <row r="17" spans="1:30" ht="21" customHeight="1">
      <c r="A17" s="420"/>
      <c r="B17" s="403"/>
      <c r="C17" s="428"/>
      <c r="D17" s="380"/>
      <c r="E17" s="380"/>
      <c r="F17" s="392"/>
      <c r="G17" s="420"/>
      <c r="H17" s="403"/>
      <c r="I17" s="428"/>
      <c r="J17" s="428"/>
      <c r="K17" s="428"/>
      <c r="M17" s="420"/>
      <c r="N17" s="403"/>
      <c r="O17" s="428"/>
      <c r="P17" s="428"/>
      <c r="V17" s="381" t="str">
        <f>IF($AA17="○",COUNTIF($AA$3:$AA17,"○"),"")</f>
        <v/>
      </c>
      <c r="W17" s="381" t="str">
        <f>IF($AB17="○",COUNTIF($AB$3:$AB17,"○"),"")</f>
        <v/>
      </c>
      <c r="X17" s="381" t="str">
        <f>IF($AC17="○",COUNTIF($AC$3:$AC17,"○"),"")</f>
        <v/>
      </c>
      <c r="Y17" s="444">
        <f t="shared" si="0"/>
        <v>0</v>
      </c>
      <c r="Z17" s="381">
        <f t="shared" si="0"/>
        <v>0</v>
      </c>
      <c r="AA17" s="381">
        <f t="shared" si="0"/>
        <v>0</v>
      </c>
      <c r="AC17" s="450"/>
      <c r="AD17" s="381" t="s">
        <v>56</v>
      </c>
    </row>
    <row r="18" spans="1:30" ht="21" customHeight="1">
      <c r="A18" s="420"/>
      <c r="B18" s="403"/>
      <c r="C18" s="428"/>
      <c r="D18" s="380"/>
      <c r="E18" s="380"/>
      <c r="F18" s="392"/>
      <c r="G18" s="420"/>
      <c r="H18" s="403"/>
      <c r="I18" s="428"/>
      <c r="J18" s="428"/>
      <c r="K18" s="428"/>
      <c r="M18" s="420"/>
      <c r="N18" s="403"/>
      <c r="O18" s="428"/>
      <c r="P18" s="428"/>
      <c r="V18" s="381" t="str">
        <f>IF($AA18="○",COUNTIF($AA$3:$AA18,"○"),"")</f>
        <v/>
      </c>
      <c r="W18" s="381" t="str">
        <f>IF($AB18="○",COUNTIF($AB$3:$AB18,"○"),"")</f>
        <v/>
      </c>
      <c r="X18" s="381" t="str">
        <f>IF($AC18="○",COUNTIF($AC$3:$AC18,"○"),"")</f>
        <v/>
      </c>
      <c r="Y18" s="444">
        <f t="shared" si="0"/>
        <v>0</v>
      </c>
      <c r="Z18" s="381">
        <f t="shared" si="0"/>
        <v>0</v>
      </c>
      <c r="AA18" s="381">
        <f t="shared" si="0"/>
        <v>0</v>
      </c>
      <c r="AC18" s="450"/>
      <c r="AD18" s="381" t="s">
        <v>56</v>
      </c>
    </row>
    <row r="19" spans="1:30" ht="21" customHeight="1">
      <c r="A19" s="420"/>
      <c r="B19" s="403"/>
      <c r="C19" s="428"/>
      <c r="D19" s="380"/>
      <c r="E19" s="380"/>
      <c r="F19" s="392"/>
      <c r="G19" s="420"/>
      <c r="H19" s="403"/>
      <c r="I19" s="428"/>
      <c r="J19" s="428"/>
      <c r="K19" s="428"/>
      <c r="M19" s="420"/>
      <c r="N19" s="403"/>
      <c r="O19" s="428"/>
      <c r="P19" s="428"/>
      <c r="V19" s="381" t="str">
        <f>IF($AA19="○",COUNTIF($AA$3:$AA19,"○"),"")</f>
        <v/>
      </c>
      <c r="W19" s="381" t="str">
        <f>IF($AB19="○",COUNTIF($AB$3:$AB19,"○"),"")</f>
        <v/>
      </c>
      <c r="X19" s="381" t="str">
        <f>IF($AC19="○",COUNTIF($AC$3:$AC19,"○"),"")</f>
        <v/>
      </c>
      <c r="Y19" s="444">
        <f t="shared" si="0"/>
        <v>0</v>
      </c>
      <c r="Z19" s="381">
        <f t="shared" si="0"/>
        <v>0</v>
      </c>
      <c r="AA19" s="381">
        <f t="shared" si="0"/>
        <v>0</v>
      </c>
      <c r="AC19" s="450"/>
      <c r="AD19" s="381" t="s">
        <v>56</v>
      </c>
    </row>
    <row r="20" spans="1:30" ht="21" customHeight="1">
      <c r="A20" s="420"/>
      <c r="B20" s="403"/>
      <c r="C20" s="428"/>
      <c r="D20" s="380"/>
      <c r="E20" s="380"/>
      <c r="F20" s="392"/>
      <c r="G20" s="420"/>
      <c r="H20" s="403"/>
      <c r="I20" s="428"/>
      <c r="J20" s="428"/>
      <c r="K20" s="428"/>
      <c r="M20" s="420"/>
      <c r="N20" s="403"/>
      <c r="O20" s="428"/>
      <c r="P20" s="428"/>
      <c r="V20" s="381" t="str">
        <f>IF($AA20="○",COUNTIF($AA$3:$AA20,"○"),"")</f>
        <v/>
      </c>
      <c r="W20" s="381" t="str">
        <f>IF($AB20="○",COUNTIF($AB$3:$AB20,"○"),"")</f>
        <v/>
      </c>
      <c r="X20" s="381" t="str">
        <f>IF($AC20="○",COUNTIF($AC$3:$AC20,"○"),"")</f>
        <v/>
      </c>
      <c r="Y20" s="444">
        <f t="shared" si="0"/>
        <v>0</v>
      </c>
      <c r="Z20" s="381">
        <f t="shared" si="0"/>
        <v>0</v>
      </c>
      <c r="AA20" s="381">
        <f t="shared" si="0"/>
        <v>0</v>
      </c>
      <c r="AC20" s="450"/>
      <c r="AD20" s="381" t="s">
        <v>56</v>
      </c>
    </row>
    <row r="21" spans="1:30" ht="21" customHeight="1">
      <c r="A21" s="420"/>
      <c r="B21" s="403"/>
      <c r="C21" s="428"/>
      <c r="D21" s="380"/>
      <c r="E21" s="380"/>
      <c r="G21" s="420"/>
      <c r="H21" s="403"/>
      <c r="I21" s="428"/>
      <c r="J21" s="428"/>
      <c r="K21" s="428"/>
      <c r="M21" s="420"/>
      <c r="N21" s="403"/>
      <c r="O21" s="428"/>
      <c r="P21" s="428"/>
      <c r="V21" s="381" t="str">
        <f>IF($AA21="○",COUNTIF($AA$3:$AA21,"○"),"")</f>
        <v/>
      </c>
      <c r="W21" s="381" t="str">
        <f>IF($AB21="○",COUNTIF($AB$3:$AB21,"○"),"")</f>
        <v/>
      </c>
      <c r="X21" s="381" t="str">
        <f>IF($AC21="○",COUNTIF($AC$3:$AC21,"○"),"")</f>
        <v/>
      </c>
      <c r="Y21" s="444">
        <f t="shared" si="0"/>
        <v>0</v>
      </c>
      <c r="Z21" s="381">
        <f t="shared" si="0"/>
        <v>0</v>
      </c>
      <c r="AA21" s="381">
        <f t="shared" si="0"/>
        <v>0</v>
      </c>
      <c r="AC21" s="450"/>
      <c r="AD21" s="381" t="s">
        <v>56</v>
      </c>
    </row>
    <row r="22" spans="1:30" ht="21" customHeight="1">
      <c r="A22" s="420"/>
      <c r="B22" s="403"/>
      <c r="C22" s="428"/>
      <c r="D22" s="380"/>
      <c r="E22" s="380"/>
      <c r="G22" s="420"/>
      <c r="H22" s="403"/>
      <c r="I22" s="428"/>
      <c r="J22" s="428"/>
      <c r="K22" s="428"/>
      <c r="M22" s="420"/>
      <c r="N22" s="403"/>
      <c r="O22" s="428"/>
      <c r="P22" s="428"/>
      <c r="V22" s="381" t="str">
        <f>IF($AA22="○",COUNTIF($AA$3:$AA22,"○"),"")</f>
        <v/>
      </c>
      <c r="W22" s="381" t="str">
        <f>IF($AB22="○",COUNTIF($AB$3:$AB22,"○"),"")</f>
        <v/>
      </c>
      <c r="X22" s="381" t="str">
        <f>IF($AC22="○",COUNTIF($AC$3:$AC22,"○"),"")</f>
        <v/>
      </c>
      <c r="Y22" s="445">
        <f t="shared" si="0"/>
        <v>0</v>
      </c>
      <c r="Z22" s="448">
        <f t="shared" si="0"/>
        <v>0</v>
      </c>
      <c r="AA22" s="448">
        <f t="shared" si="0"/>
        <v>0</v>
      </c>
      <c r="AB22" s="448"/>
      <c r="AC22" s="451"/>
      <c r="AD22" s="381" t="s">
        <v>56</v>
      </c>
    </row>
    <row r="23" spans="1:30" ht="21" customHeight="1">
      <c r="A23" s="420"/>
      <c r="B23" s="403"/>
      <c r="C23" s="428"/>
      <c r="D23" s="380"/>
      <c r="E23" s="380"/>
      <c r="G23" s="420"/>
      <c r="H23" s="403"/>
      <c r="I23" s="428"/>
      <c r="J23" s="428"/>
      <c r="K23" s="428"/>
      <c r="M23" s="420"/>
      <c r="N23" s="403"/>
      <c r="O23" s="428"/>
      <c r="P23" s="428"/>
      <c r="V23" s="381" t="str">
        <f>IF($AA23="○",COUNTIF($AA$3:$AA23,"○"),"")</f>
        <v/>
      </c>
      <c r="W23" s="381" t="str">
        <f>IF($AB23="○",COUNTIF($AB$3:$AB23,"○"),"")</f>
        <v/>
      </c>
      <c r="X23" s="381">
        <f>IF($AC23="○",COUNTIF($AC$3:$AC23,"○"),"")</f>
        <v>1</v>
      </c>
      <c r="Y23" s="443" t="str">
        <f t="shared" ref="Y23:AC42" si="1">G4</f>
        <v>トラクタA</v>
      </c>
      <c r="Z23" s="447">
        <f t="shared" si="1"/>
        <v>3300000</v>
      </c>
      <c r="AA23" s="447">
        <f t="shared" si="1"/>
        <v>0</v>
      </c>
      <c r="AB23" s="447">
        <f t="shared" si="1"/>
        <v>0</v>
      </c>
      <c r="AC23" s="449" t="str">
        <f t="shared" si="1"/>
        <v>○</v>
      </c>
      <c r="AD23" s="381" t="s">
        <v>201</v>
      </c>
    </row>
    <row r="24" spans="1:30" ht="22.5" customHeight="1">
      <c r="A24" s="421" t="s">
        <v>112</v>
      </c>
      <c r="B24" s="425">
        <f>SUM(B4:B23)</f>
        <v>10000</v>
      </c>
      <c r="C24" s="425">
        <f>SUMIF($C$4:$C$23,"○",$B$4:$B$23)</f>
        <v>10000</v>
      </c>
      <c r="D24" s="430"/>
      <c r="E24" s="430"/>
      <c r="G24" s="421" t="s">
        <v>112</v>
      </c>
      <c r="H24" s="425">
        <f>SUM(H4:H23)</f>
        <v>7920000</v>
      </c>
      <c r="I24" s="425">
        <f>SUMIF($I$4:$I$23,"○",$H$4:$H$23)</f>
        <v>10000</v>
      </c>
      <c r="J24" s="425">
        <f>SUMIF($J$4:$J$23,"○",$H$4:$H$23)</f>
        <v>0</v>
      </c>
      <c r="K24" s="425">
        <f>SUMIF($K$4:$K$23,"○",$H$4:$H$23)</f>
        <v>7900000</v>
      </c>
      <c r="M24" s="421" t="s">
        <v>112</v>
      </c>
      <c r="N24" s="425">
        <f>SUM(N4:N23)</f>
        <v>10000</v>
      </c>
      <c r="O24" s="425">
        <f>SUMIF($O$4:$O$23,"○",$N$4:$N$23)</f>
        <v>10000</v>
      </c>
      <c r="P24" s="425">
        <f>SUMIF($P$4:$P$23,"○",$N$4:$N$23)</f>
        <v>0</v>
      </c>
      <c r="V24" s="381" t="str">
        <f>IF($AA24="○",COUNTIF($AA$3:$AA24,"○"),"")</f>
        <v/>
      </c>
      <c r="W24" s="381" t="str">
        <f>IF($AB24="○",COUNTIF($AB$3:$AB24,"○"),"")</f>
        <v/>
      </c>
      <c r="X24" s="381">
        <f>IF($AC24="○",COUNTIF($AC$3:$AC24,"○"),"")</f>
        <v>2</v>
      </c>
      <c r="Y24" s="444" t="str">
        <f t="shared" si="1"/>
        <v>コンバイン</v>
      </c>
      <c r="Z24" s="381">
        <f t="shared" si="1"/>
        <v>2500000</v>
      </c>
      <c r="AA24" s="381">
        <f t="shared" si="1"/>
        <v>0</v>
      </c>
      <c r="AB24" s="381">
        <f t="shared" si="1"/>
        <v>0</v>
      </c>
      <c r="AC24" s="450" t="str">
        <f t="shared" si="1"/>
        <v>○</v>
      </c>
      <c r="AD24" s="381" t="s">
        <v>201</v>
      </c>
    </row>
    <row r="25" spans="1:30" ht="21" customHeight="1">
      <c r="V25" s="381" t="str">
        <f>IF($AA25="○",COUNTIF($AA$3:$AA25,"○"),"")</f>
        <v/>
      </c>
      <c r="W25" s="381" t="str">
        <f>IF($AB25="○",COUNTIF($AB$3:$AB25,"○"),"")</f>
        <v/>
      </c>
      <c r="X25" s="381">
        <f>IF($AC25="○",COUNTIF($AC$3:$AC25,"○"),"")</f>
        <v>3</v>
      </c>
      <c r="Y25" s="444" t="str">
        <f t="shared" si="1"/>
        <v>トラクタB</v>
      </c>
      <c r="Z25" s="381">
        <f t="shared" si="1"/>
        <v>600000</v>
      </c>
      <c r="AA25" s="381">
        <f t="shared" si="1"/>
        <v>0</v>
      </c>
      <c r="AB25" s="381">
        <f t="shared" si="1"/>
        <v>0</v>
      </c>
      <c r="AC25" s="450" t="str">
        <f t="shared" si="1"/>
        <v>○</v>
      </c>
      <c r="AD25" s="381" t="s">
        <v>201</v>
      </c>
    </row>
    <row r="26" spans="1:30" ht="21" customHeight="1">
      <c r="V26" s="381" t="str">
        <f>IF($AA26="○",COUNTIF($AA$3:$AA26,"○"),"")</f>
        <v/>
      </c>
      <c r="W26" s="381" t="str">
        <f>IF($AB26="○",COUNTIF($AB$3:$AB26,"○"),"")</f>
        <v/>
      </c>
      <c r="X26" s="381">
        <f>IF($AC26="○",COUNTIF($AC$3:$AC26,"○"),"")</f>
        <v>4</v>
      </c>
      <c r="Y26" s="444" t="str">
        <f t="shared" si="1"/>
        <v>田植機</v>
      </c>
      <c r="Z26" s="381">
        <f t="shared" si="1"/>
        <v>1500000</v>
      </c>
      <c r="AA26" s="381">
        <f t="shared" si="1"/>
        <v>0</v>
      </c>
      <c r="AB26" s="381">
        <f t="shared" si="1"/>
        <v>0</v>
      </c>
      <c r="AC26" s="450" t="str">
        <f t="shared" si="1"/>
        <v>○</v>
      </c>
      <c r="AD26" s="381" t="s">
        <v>201</v>
      </c>
    </row>
    <row r="27" spans="1:30" ht="30" customHeight="1">
      <c r="A27" s="422" t="s">
        <v>123</v>
      </c>
      <c r="G27" s="422" t="s">
        <v>107</v>
      </c>
      <c r="M27" s="422" t="s">
        <v>119</v>
      </c>
      <c r="V27" s="381" t="str">
        <f>IF($AA27="○",COUNTIF($AA$3:$AA27,"○"),"")</f>
        <v/>
      </c>
      <c r="W27" s="381" t="str">
        <f>IF($AB27="○",COUNTIF($AB$3:$AB27,"○"),"")</f>
        <v/>
      </c>
      <c r="X27" s="381" t="str">
        <f>IF($AC27="○",COUNTIF($AC$3:$AC27,"○"),"")</f>
        <v/>
      </c>
      <c r="Y27" s="444">
        <f t="shared" si="1"/>
        <v>0</v>
      </c>
      <c r="Z27" s="381">
        <f t="shared" si="1"/>
        <v>0</v>
      </c>
      <c r="AA27" s="381">
        <f t="shared" si="1"/>
        <v>0</v>
      </c>
      <c r="AB27" s="381">
        <f t="shared" si="1"/>
        <v>0</v>
      </c>
      <c r="AC27" s="450">
        <f t="shared" si="1"/>
        <v>0</v>
      </c>
      <c r="AD27" s="381" t="s">
        <v>201</v>
      </c>
    </row>
    <row r="28" spans="1:30" ht="30.75" customHeight="1">
      <c r="A28" s="399" t="s">
        <v>110</v>
      </c>
      <c r="B28" s="424" t="s">
        <v>111</v>
      </c>
      <c r="C28" s="427" t="s">
        <v>127</v>
      </c>
      <c r="D28" s="427" t="s">
        <v>129</v>
      </c>
      <c r="E28" s="427" t="s">
        <v>130</v>
      </c>
      <c r="G28" s="399" t="s">
        <v>110</v>
      </c>
      <c r="H28" s="424" t="s">
        <v>111</v>
      </c>
      <c r="I28" s="427" t="s">
        <v>127</v>
      </c>
      <c r="J28" s="427" t="s">
        <v>129</v>
      </c>
      <c r="K28" s="427" t="s">
        <v>130</v>
      </c>
      <c r="M28" s="399" t="s">
        <v>110</v>
      </c>
      <c r="N28" s="424" t="s">
        <v>111</v>
      </c>
      <c r="O28" s="427" t="s">
        <v>127</v>
      </c>
      <c r="P28" s="427" t="s">
        <v>129</v>
      </c>
      <c r="Q28" s="427" t="s">
        <v>130</v>
      </c>
      <c r="V28" s="381">
        <f>IF($AA28="○",COUNTIF($AA$3:$AA28,"○"),"")</f>
        <v>2</v>
      </c>
      <c r="W28" s="381" t="str">
        <f>IF($AB28="○",COUNTIF($AB$3:$AB28,"○"),"")</f>
        <v/>
      </c>
      <c r="X28" s="381" t="str">
        <f>IF($AC28="○",COUNTIF($AC$3:$AC28,"○"),"")</f>
        <v/>
      </c>
      <c r="Y28" s="444" t="str">
        <f t="shared" si="1"/>
        <v>共同防除日当</v>
      </c>
      <c r="Z28" s="381">
        <f t="shared" si="1"/>
        <v>10000</v>
      </c>
      <c r="AA28" s="381" t="str">
        <f t="shared" si="1"/>
        <v>○</v>
      </c>
      <c r="AB28" s="381">
        <f t="shared" si="1"/>
        <v>0</v>
      </c>
      <c r="AC28" s="450">
        <f t="shared" si="1"/>
        <v>0</v>
      </c>
      <c r="AD28" s="381" t="s">
        <v>201</v>
      </c>
    </row>
    <row r="29" spans="1:30" ht="21" customHeight="1">
      <c r="A29" s="420" t="s">
        <v>136</v>
      </c>
      <c r="B29" s="403">
        <v>50000</v>
      </c>
      <c r="C29" s="428"/>
      <c r="D29" s="428"/>
      <c r="E29" s="428"/>
      <c r="G29" s="420" t="s">
        <v>26</v>
      </c>
      <c r="H29" s="403">
        <v>5000</v>
      </c>
      <c r="I29" s="428" t="s">
        <v>195</v>
      </c>
      <c r="J29" s="428"/>
      <c r="K29" s="428"/>
      <c r="M29" s="420" t="s">
        <v>243</v>
      </c>
      <c r="N29" s="403">
        <v>5000</v>
      </c>
      <c r="O29" s="428"/>
      <c r="P29" s="428"/>
      <c r="Q29" s="428"/>
      <c r="V29" s="381" t="str">
        <f>IF($AA29="○",COUNTIF($AA$3:$AA29,"○"),"")</f>
        <v/>
      </c>
      <c r="W29" s="381" t="str">
        <f>IF($AB29="○",COUNTIF($AB$3:$AB29,"○"),"")</f>
        <v/>
      </c>
      <c r="X29" s="381" t="str">
        <f>IF($AC29="○",COUNTIF($AC$3:$AC29,"○"),"")</f>
        <v/>
      </c>
      <c r="Y29" s="444" t="str">
        <f t="shared" si="1"/>
        <v>共同防除薬剤</v>
      </c>
      <c r="Z29" s="381">
        <f t="shared" si="1"/>
        <v>5000</v>
      </c>
      <c r="AA29" s="381">
        <f t="shared" si="1"/>
        <v>0</v>
      </c>
      <c r="AB29" s="381">
        <f t="shared" si="1"/>
        <v>0</v>
      </c>
      <c r="AC29" s="450">
        <f t="shared" si="1"/>
        <v>0</v>
      </c>
      <c r="AD29" s="381" t="s">
        <v>201</v>
      </c>
    </row>
    <row r="30" spans="1:30" ht="21" customHeight="1">
      <c r="A30" s="420"/>
      <c r="B30" s="403"/>
      <c r="C30" s="428"/>
      <c r="D30" s="428"/>
      <c r="E30" s="428"/>
      <c r="G30" s="420"/>
      <c r="H30" s="403"/>
      <c r="I30" s="428"/>
      <c r="J30" s="428"/>
      <c r="K30" s="428"/>
      <c r="M30" s="420"/>
      <c r="N30" s="403"/>
      <c r="O30" s="428"/>
      <c r="P30" s="428"/>
      <c r="Q30" s="428"/>
      <c r="V30" s="381" t="str">
        <f>IF($AA30="○",COUNTIF($AA$3:$AA30,"○"),"")</f>
        <v/>
      </c>
      <c r="W30" s="381" t="str">
        <f>IF($AB30="○",COUNTIF($AB$3:$AB30,"○"),"")</f>
        <v/>
      </c>
      <c r="X30" s="381" t="str">
        <f>IF($AC30="○",COUNTIF($AC$3:$AC30,"○"),"")</f>
        <v/>
      </c>
      <c r="Y30" s="444" t="str">
        <f t="shared" si="1"/>
        <v>景観作物種子</v>
      </c>
      <c r="Z30" s="381">
        <f t="shared" si="1"/>
        <v>5000</v>
      </c>
      <c r="AA30" s="381">
        <f t="shared" si="1"/>
        <v>0</v>
      </c>
      <c r="AB30" s="381">
        <f t="shared" si="1"/>
        <v>0</v>
      </c>
      <c r="AC30" s="450">
        <f t="shared" si="1"/>
        <v>0</v>
      </c>
      <c r="AD30" s="381" t="s">
        <v>201</v>
      </c>
    </row>
    <row r="31" spans="1:30" ht="21" customHeight="1">
      <c r="A31" s="420"/>
      <c r="B31" s="403"/>
      <c r="C31" s="428"/>
      <c r="D31" s="428"/>
      <c r="E31" s="428"/>
      <c r="G31" s="420"/>
      <c r="H31" s="403"/>
      <c r="I31" s="428"/>
      <c r="J31" s="428"/>
      <c r="K31" s="428"/>
      <c r="M31" s="420"/>
      <c r="N31" s="403"/>
      <c r="O31" s="428"/>
      <c r="P31" s="428"/>
      <c r="Q31" s="428"/>
      <c r="V31" s="381" t="str">
        <f>IF($AA31="○",COUNTIF($AA$3:$AA31,"○"),"")</f>
        <v/>
      </c>
      <c r="W31" s="381" t="str">
        <f>IF($AB31="○",COUNTIF($AB$3:$AB31,"○"),"")</f>
        <v/>
      </c>
      <c r="X31" s="381" t="str">
        <f>IF($AC31="○",COUNTIF($AC$3:$AC31,"○"),"")</f>
        <v/>
      </c>
      <c r="Y31" s="444">
        <f t="shared" si="1"/>
        <v>0</v>
      </c>
      <c r="Z31" s="381">
        <f t="shared" si="1"/>
        <v>0</v>
      </c>
      <c r="AA31" s="381">
        <f t="shared" si="1"/>
        <v>0</v>
      </c>
      <c r="AB31" s="381">
        <f t="shared" si="1"/>
        <v>0</v>
      </c>
      <c r="AC31" s="450">
        <f t="shared" si="1"/>
        <v>0</v>
      </c>
      <c r="AD31" s="381" t="s">
        <v>201</v>
      </c>
    </row>
    <row r="32" spans="1:30" ht="21" customHeight="1">
      <c r="A32" s="420"/>
      <c r="B32" s="403"/>
      <c r="C32" s="428"/>
      <c r="D32" s="428"/>
      <c r="E32" s="428"/>
      <c r="G32" s="420"/>
      <c r="H32" s="403"/>
      <c r="I32" s="428"/>
      <c r="J32" s="428"/>
      <c r="K32" s="428"/>
      <c r="M32" s="420"/>
      <c r="N32" s="403"/>
      <c r="O32" s="428"/>
      <c r="P32" s="428"/>
      <c r="Q32" s="428"/>
      <c r="V32" s="381" t="str">
        <f>IF($AA32="○",COUNTIF($AA$3:$AA32,"○"),"")</f>
        <v/>
      </c>
      <c r="W32" s="381" t="str">
        <f>IF($AB32="○",COUNTIF($AB$3:$AB32,"○"),"")</f>
        <v/>
      </c>
      <c r="X32" s="381" t="str">
        <f>IF($AC32="○",COUNTIF($AC$3:$AC32,"○"),"")</f>
        <v/>
      </c>
      <c r="Y32" s="444">
        <f t="shared" si="1"/>
        <v>0</v>
      </c>
      <c r="Z32" s="381">
        <f t="shared" si="1"/>
        <v>0</v>
      </c>
      <c r="AA32" s="381">
        <f t="shared" si="1"/>
        <v>0</v>
      </c>
      <c r="AB32" s="381">
        <f t="shared" si="1"/>
        <v>0</v>
      </c>
      <c r="AC32" s="450">
        <f t="shared" si="1"/>
        <v>0</v>
      </c>
      <c r="AD32" s="381" t="s">
        <v>201</v>
      </c>
    </row>
    <row r="33" spans="1:30" ht="21" customHeight="1">
      <c r="A33" s="420"/>
      <c r="B33" s="403"/>
      <c r="C33" s="428"/>
      <c r="D33" s="428"/>
      <c r="E33" s="428"/>
      <c r="G33" s="420"/>
      <c r="H33" s="403"/>
      <c r="I33" s="428"/>
      <c r="J33" s="428"/>
      <c r="K33" s="428"/>
      <c r="M33" s="420"/>
      <c r="N33" s="403"/>
      <c r="O33" s="428"/>
      <c r="P33" s="428"/>
      <c r="Q33" s="428"/>
      <c r="V33" s="381" t="str">
        <f>IF($AA33="○",COUNTIF($AA$3:$AA33,"○"),"")</f>
        <v/>
      </c>
      <c r="W33" s="381" t="str">
        <f>IF($AB33="○",COUNTIF($AB$3:$AB33,"○"),"")</f>
        <v/>
      </c>
      <c r="X33" s="381" t="str">
        <f>IF($AC33="○",COUNTIF($AC$3:$AC33,"○"),"")</f>
        <v/>
      </c>
      <c r="Y33" s="444">
        <f t="shared" si="1"/>
        <v>0</v>
      </c>
      <c r="Z33" s="381">
        <f t="shared" si="1"/>
        <v>0</v>
      </c>
      <c r="AA33" s="381">
        <f t="shared" si="1"/>
        <v>0</v>
      </c>
      <c r="AB33" s="381">
        <f t="shared" si="1"/>
        <v>0</v>
      </c>
      <c r="AC33" s="450">
        <f t="shared" si="1"/>
        <v>0</v>
      </c>
      <c r="AD33" s="381" t="s">
        <v>201</v>
      </c>
    </row>
    <row r="34" spans="1:30" ht="21" customHeight="1">
      <c r="A34" s="420"/>
      <c r="B34" s="403"/>
      <c r="C34" s="428"/>
      <c r="D34" s="428"/>
      <c r="E34" s="428"/>
      <c r="G34" s="420"/>
      <c r="H34" s="403"/>
      <c r="I34" s="428"/>
      <c r="J34" s="428"/>
      <c r="K34" s="428"/>
      <c r="M34" s="420"/>
      <c r="N34" s="403"/>
      <c r="O34" s="428"/>
      <c r="P34" s="428"/>
      <c r="Q34" s="428"/>
      <c r="V34" s="381" t="str">
        <f>IF($AA34="○",COUNTIF($AA$3:$AA34,"○"),"")</f>
        <v/>
      </c>
      <c r="W34" s="381" t="str">
        <f>IF($AB34="○",COUNTIF($AB$3:$AB34,"○"),"")</f>
        <v/>
      </c>
      <c r="X34" s="381" t="str">
        <f>IF($AC34="○",COUNTIF($AC$3:$AC34,"○"),"")</f>
        <v/>
      </c>
      <c r="Y34" s="444">
        <f t="shared" si="1"/>
        <v>0</v>
      </c>
      <c r="Z34" s="381">
        <f t="shared" si="1"/>
        <v>0</v>
      </c>
      <c r="AA34" s="381">
        <f t="shared" si="1"/>
        <v>0</v>
      </c>
      <c r="AB34" s="381">
        <f t="shared" si="1"/>
        <v>0</v>
      </c>
      <c r="AC34" s="450">
        <f t="shared" si="1"/>
        <v>0</v>
      </c>
      <c r="AD34" s="381" t="s">
        <v>201</v>
      </c>
    </row>
    <row r="35" spans="1:30" ht="21" customHeight="1">
      <c r="A35" s="420"/>
      <c r="B35" s="403"/>
      <c r="C35" s="428"/>
      <c r="D35" s="428"/>
      <c r="E35" s="428"/>
      <c r="G35" s="420"/>
      <c r="H35" s="403"/>
      <c r="I35" s="428"/>
      <c r="J35" s="428"/>
      <c r="K35" s="428"/>
      <c r="M35" s="420"/>
      <c r="N35" s="403"/>
      <c r="O35" s="428"/>
      <c r="P35" s="428"/>
      <c r="Q35" s="428"/>
      <c r="V35" s="381" t="str">
        <f>IF($AA35="○",COUNTIF($AA$3:$AA35,"○"),"")</f>
        <v/>
      </c>
      <c r="W35" s="381" t="str">
        <f>IF($AB35="○",COUNTIF($AB$3:$AB35,"○"),"")</f>
        <v/>
      </c>
      <c r="X35" s="381" t="str">
        <f>IF($AC35="○",COUNTIF($AC$3:$AC35,"○"),"")</f>
        <v/>
      </c>
      <c r="Y35" s="444">
        <f t="shared" si="1"/>
        <v>0</v>
      </c>
      <c r="Z35" s="381">
        <f t="shared" si="1"/>
        <v>0</v>
      </c>
      <c r="AA35" s="381">
        <f t="shared" si="1"/>
        <v>0</v>
      </c>
      <c r="AB35" s="381">
        <f t="shared" si="1"/>
        <v>0</v>
      </c>
      <c r="AC35" s="450">
        <f t="shared" si="1"/>
        <v>0</v>
      </c>
      <c r="AD35" s="381" t="s">
        <v>201</v>
      </c>
    </row>
    <row r="36" spans="1:30" ht="21" customHeight="1">
      <c r="A36" s="420"/>
      <c r="B36" s="403"/>
      <c r="C36" s="428"/>
      <c r="D36" s="428"/>
      <c r="E36" s="428"/>
      <c r="G36" s="420"/>
      <c r="H36" s="403"/>
      <c r="I36" s="428"/>
      <c r="J36" s="428"/>
      <c r="K36" s="428"/>
      <c r="M36" s="420"/>
      <c r="N36" s="403"/>
      <c r="O36" s="428"/>
      <c r="P36" s="428"/>
      <c r="Q36" s="428"/>
      <c r="V36" s="381" t="str">
        <f>IF($AA36="○",COUNTIF($AA$3:$AA36,"○"),"")</f>
        <v/>
      </c>
      <c r="W36" s="381" t="str">
        <f>IF($AB36="○",COUNTIF($AB$3:$AB36,"○"),"")</f>
        <v/>
      </c>
      <c r="X36" s="381" t="str">
        <f>IF($AC36="○",COUNTIF($AC$3:$AC36,"○"),"")</f>
        <v/>
      </c>
      <c r="Y36" s="444">
        <f t="shared" si="1"/>
        <v>0</v>
      </c>
      <c r="Z36" s="381">
        <f t="shared" si="1"/>
        <v>0</v>
      </c>
      <c r="AA36" s="381">
        <f t="shared" si="1"/>
        <v>0</v>
      </c>
      <c r="AB36" s="381">
        <f t="shared" si="1"/>
        <v>0</v>
      </c>
      <c r="AC36" s="450">
        <f t="shared" si="1"/>
        <v>0</v>
      </c>
      <c r="AD36" s="381" t="s">
        <v>201</v>
      </c>
    </row>
    <row r="37" spans="1:30" ht="21" customHeight="1">
      <c r="A37" s="420"/>
      <c r="B37" s="403"/>
      <c r="C37" s="428"/>
      <c r="D37" s="428"/>
      <c r="E37" s="428"/>
      <c r="G37" s="420"/>
      <c r="H37" s="403"/>
      <c r="I37" s="428"/>
      <c r="J37" s="428"/>
      <c r="K37" s="428"/>
      <c r="M37" s="420"/>
      <c r="N37" s="403"/>
      <c r="O37" s="428"/>
      <c r="P37" s="428"/>
      <c r="Q37" s="428"/>
      <c r="V37" s="381" t="str">
        <f>IF($AA37="○",COUNTIF($AA$3:$AA37,"○"),"")</f>
        <v/>
      </c>
      <c r="W37" s="381" t="str">
        <f>IF($AB37="○",COUNTIF($AB$3:$AB37,"○"),"")</f>
        <v/>
      </c>
      <c r="X37" s="381" t="str">
        <f>IF($AC37="○",COUNTIF($AC$3:$AC37,"○"),"")</f>
        <v/>
      </c>
      <c r="Y37" s="444">
        <f t="shared" si="1"/>
        <v>0</v>
      </c>
      <c r="Z37" s="381">
        <f t="shared" si="1"/>
        <v>0</v>
      </c>
      <c r="AA37" s="381">
        <f t="shared" si="1"/>
        <v>0</v>
      </c>
      <c r="AB37" s="381">
        <f t="shared" si="1"/>
        <v>0</v>
      </c>
      <c r="AC37" s="450">
        <f t="shared" si="1"/>
        <v>0</v>
      </c>
      <c r="AD37" s="381" t="s">
        <v>201</v>
      </c>
    </row>
    <row r="38" spans="1:30" ht="21" customHeight="1">
      <c r="A38" s="420"/>
      <c r="B38" s="403"/>
      <c r="C38" s="428"/>
      <c r="D38" s="428"/>
      <c r="E38" s="428"/>
      <c r="G38" s="420"/>
      <c r="H38" s="403"/>
      <c r="I38" s="428"/>
      <c r="J38" s="428"/>
      <c r="K38" s="428"/>
      <c r="M38" s="420"/>
      <c r="N38" s="403"/>
      <c r="O38" s="428"/>
      <c r="P38" s="428"/>
      <c r="Q38" s="428"/>
      <c r="V38" s="381" t="str">
        <f>IF($AA38="○",COUNTIF($AA$3:$AA38,"○"),"")</f>
        <v/>
      </c>
      <c r="W38" s="381" t="str">
        <f>IF($AB38="○",COUNTIF($AB$3:$AB38,"○"),"")</f>
        <v/>
      </c>
      <c r="X38" s="381" t="str">
        <f>IF($AC38="○",COUNTIF($AC$3:$AC38,"○"),"")</f>
        <v/>
      </c>
      <c r="Y38" s="444">
        <f t="shared" si="1"/>
        <v>0</v>
      </c>
      <c r="Z38" s="381">
        <f t="shared" si="1"/>
        <v>0</v>
      </c>
      <c r="AA38" s="381">
        <f t="shared" si="1"/>
        <v>0</v>
      </c>
      <c r="AB38" s="381">
        <f t="shared" si="1"/>
        <v>0</v>
      </c>
      <c r="AC38" s="450">
        <f t="shared" si="1"/>
        <v>0</v>
      </c>
      <c r="AD38" s="381" t="s">
        <v>201</v>
      </c>
    </row>
    <row r="39" spans="1:30" ht="21" customHeight="1">
      <c r="A39" s="420"/>
      <c r="B39" s="403"/>
      <c r="C39" s="428"/>
      <c r="D39" s="428"/>
      <c r="E39" s="428"/>
      <c r="G39" s="420"/>
      <c r="H39" s="403"/>
      <c r="I39" s="428"/>
      <c r="J39" s="428"/>
      <c r="K39" s="428"/>
      <c r="M39" s="420"/>
      <c r="N39" s="403"/>
      <c r="O39" s="428"/>
      <c r="P39" s="428"/>
      <c r="Q39" s="428"/>
      <c r="V39" s="381" t="str">
        <f>IF($AA39="○",COUNTIF($AA$3:$AA39,"○"),"")</f>
        <v/>
      </c>
      <c r="W39" s="381" t="str">
        <f>IF($AB39="○",COUNTIF($AB$3:$AB39,"○"),"")</f>
        <v/>
      </c>
      <c r="X39" s="381" t="str">
        <f>IF($AC39="○",COUNTIF($AC$3:$AC39,"○"),"")</f>
        <v/>
      </c>
      <c r="Y39" s="444">
        <f t="shared" si="1"/>
        <v>0</v>
      </c>
      <c r="Z39" s="381">
        <f t="shared" si="1"/>
        <v>0</v>
      </c>
      <c r="AA39" s="381">
        <f t="shared" si="1"/>
        <v>0</v>
      </c>
      <c r="AB39" s="381">
        <f t="shared" si="1"/>
        <v>0</v>
      </c>
      <c r="AC39" s="450">
        <f t="shared" si="1"/>
        <v>0</v>
      </c>
      <c r="AD39" s="381" t="s">
        <v>201</v>
      </c>
    </row>
    <row r="40" spans="1:30" ht="21" customHeight="1">
      <c r="A40" s="420"/>
      <c r="B40" s="403"/>
      <c r="C40" s="428"/>
      <c r="D40" s="428"/>
      <c r="E40" s="428"/>
      <c r="G40" s="420"/>
      <c r="H40" s="403"/>
      <c r="I40" s="428"/>
      <c r="J40" s="428"/>
      <c r="K40" s="428"/>
      <c r="M40" s="420"/>
      <c r="N40" s="403"/>
      <c r="O40" s="428"/>
      <c r="P40" s="428"/>
      <c r="Q40" s="428"/>
      <c r="V40" s="381" t="str">
        <f>IF($AA40="○",COUNTIF($AA$3:$AA40,"○"),"")</f>
        <v/>
      </c>
      <c r="W40" s="381" t="str">
        <f>IF($AB40="○",COUNTIF($AB$3:$AB40,"○"),"")</f>
        <v/>
      </c>
      <c r="X40" s="381" t="str">
        <f>IF($AC40="○",COUNTIF($AC$3:$AC40,"○"),"")</f>
        <v/>
      </c>
      <c r="Y40" s="444">
        <f t="shared" si="1"/>
        <v>0</v>
      </c>
      <c r="Z40" s="381">
        <f t="shared" si="1"/>
        <v>0</v>
      </c>
      <c r="AA40" s="381">
        <f t="shared" si="1"/>
        <v>0</v>
      </c>
      <c r="AB40" s="381">
        <f t="shared" si="1"/>
        <v>0</v>
      </c>
      <c r="AC40" s="450">
        <f t="shared" si="1"/>
        <v>0</v>
      </c>
      <c r="AD40" s="381" t="s">
        <v>201</v>
      </c>
    </row>
    <row r="41" spans="1:30" ht="21" customHeight="1">
      <c r="A41" s="420"/>
      <c r="B41" s="403"/>
      <c r="C41" s="428"/>
      <c r="D41" s="428"/>
      <c r="E41" s="428"/>
      <c r="G41" s="420"/>
      <c r="H41" s="403"/>
      <c r="I41" s="428"/>
      <c r="J41" s="428"/>
      <c r="K41" s="428"/>
      <c r="M41" s="420"/>
      <c r="N41" s="403"/>
      <c r="O41" s="428"/>
      <c r="P41" s="428"/>
      <c r="Q41" s="428"/>
      <c r="V41" s="381" t="str">
        <f>IF($AA41="○",COUNTIF($AA$3:$AA41,"○"),"")</f>
        <v/>
      </c>
      <c r="W41" s="381" t="str">
        <f>IF($AB41="○",COUNTIF($AB$3:$AB41,"○"),"")</f>
        <v/>
      </c>
      <c r="X41" s="381" t="str">
        <f>IF($AC41="○",COUNTIF($AC$3:$AC41,"○"),"")</f>
        <v/>
      </c>
      <c r="Y41" s="444">
        <f t="shared" si="1"/>
        <v>0</v>
      </c>
      <c r="Z41" s="381">
        <f t="shared" si="1"/>
        <v>0</v>
      </c>
      <c r="AA41" s="381">
        <f t="shared" si="1"/>
        <v>0</v>
      </c>
      <c r="AB41" s="381">
        <f t="shared" si="1"/>
        <v>0</v>
      </c>
      <c r="AC41" s="450">
        <f t="shared" si="1"/>
        <v>0</v>
      </c>
      <c r="AD41" s="381" t="s">
        <v>201</v>
      </c>
    </row>
    <row r="42" spans="1:30" ht="21" customHeight="1">
      <c r="A42" s="420"/>
      <c r="B42" s="403"/>
      <c r="C42" s="428"/>
      <c r="D42" s="428"/>
      <c r="E42" s="428"/>
      <c r="G42" s="420"/>
      <c r="H42" s="403"/>
      <c r="I42" s="428"/>
      <c r="J42" s="428"/>
      <c r="K42" s="428"/>
      <c r="M42" s="420"/>
      <c r="N42" s="403"/>
      <c r="O42" s="428"/>
      <c r="P42" s="428"/>
      <c r="Q42" s="428"/>
      <c r="V42" s="381" t="str">
        <f>IF($AA42="○",COUNTIF($AA$3:$AA42,"○"),"")</f>
        <v/>
      </c>
      <c r="W42" s="381" t="str">
        <f>IF($AB42="○",COUNTIF($AB$3:$AB42,"○"),"")</f>
        <v/>
      </c>
      <c r="X42" s="381" t="str">
        <f>IF($AC42="○",COUNTIF($AC$3:$AC42,"○"),"")</f>
        <v/>
      </c>
      <c r="Y42" s="445">
        <f t="shared" si="1"/>
        <v>0</v>
      </c>
      <c r="Z42" s="448">
        <f t="shared" si="1"/>
        <v>0</v>
      </c>
      <c r="AA42" s="448">
        <f t="shared" si="1"/>
        <v>0</v>
      </c>
      <c r="AB42" s="448">
        <f t="shared" si="1"/>
        <v>0</v>
      </c>
      <c r="AC42" s="451">
        <f t="shared" si="1"/>
        <v>0</v>
      </c>
      <c r="AD42" s="381" t="s">
        <v>201</v>
      </c>
    </row>
    <row r="43" spans="1:30" ht="21" customHeight="1">
      <c r="A43" s="420"/>
      <c r="B43" s="403"/>
      <c r="C43" s="428"/>
      <c r="D43" s="428"/>
      <c r="E43" s="428"/>
      <c r="G43" s="420"/>
      <c r="H43" s="403"/>
      <c r="I43" s="428"/>
      <c r="J43" s="428"/>
      <c r="K43" s="428"/>
      <c r="M43" s="420"/>
      <c r="N43" s="403"/>
      <c r="O43" s="428"/>
      <c r="P43" s="428"/>
      <c r="Q43" s="428"/>
      <c r="V43" s="381">
        <f>IF($AA43="○",COUNTIF($AA$3:$AA43,"○"),"")</f>
        <v>3</v>
      </c>
      <c r="W43" s="381" t="str">
        <f>IF($AB43="○",COUNTIF($AB$3:$AB43,"○"),"")</f>
        <v/>
      </c>
      <c r="X43" s="381" t="str">
        <f>IF($AC43="○",COUNTIF($AC$3:$AC43,"○"),"")</f>
        <v/>
      </c>
      <c r="Y43" s="443" t="str">
        <f t="shared" ref="Y43:AB62" si="2">M4</f>
        <v>水路補修作業日当</v>
      </c>
      <c r="Z43" s="447">
        <f t="shared" si="2"/>
        <v>5000</v>
      </c>
      <c r="AA43" s="447" t="str">
        <f t="shared" si="2"/>
        <v>○</v>
      </c>
      <c r="AB43" s="447">
        <f t="shared" si="2"/>
        <v>0</v>
      </c>
      <c r="AC43" s="449"/>
      <c r="AD43" s="381" t="s">
        <v>202</v>
      </c>
    </row>
    <row r="44" spans="1:30" ht="21" customHeight="1">
      <c r="A44" s="420"/>
      <c r="B44" s="403"/>
      <c r="C44" s="428"/>
      <c r="D44" s="428"/>
      <c r="E44" s="428"/>
      <c r="G44" s="420"/>
      <c r="H44" s="403"/>
      <c r="I44" s="428"/>
      <c r="J44" s="428"/>
      <c r="K44" s="428"/>
      <c r="M44" s="420"/>
      <c r="N44" s="403"/>
      <c r="O44" s="428"/>
      <c r="P44" s="428"/>
      <c r="Q44" s="428"/>
      <c r="V44" s="381">
        <f>IF($AA44="○",COUNTIF($AA$3:$AA44,"○"),"")</f>
        <v>4</v>
      </c>
      <c r="W44" s="381" t="str">
        <f>IF($AB44="○",COUNTIF($AB$3:$AB44,"○"),"")</f>
        <v/>
      </c>
      <c r="X44" s="381" t="str">
        <f>IF($AC44="○",COUNTIF($AC$3:$AC44,"○"),"")</f>
        <v/>
      </c>
      <c r="Y44" s="444" t="str">
        <f t="shared" si="2"/>
        <v>水路泥上げ日当</v>
      </c>
      <c r="Z44" s="381">
        <f t="shared" si="2"/>
        <v>5000</v>
      </c>
      <c r="AA44" s="381" t="str">
        <f t="shared" si="2"/>
        <v>○</v>
      </c>
      <c r="AB44" s="381">
        <f t="shared" si="2"/>
        <v>0</v>
      </c>
      <c r="AC44" s="450"/>
      <c r="AD44" s="381" t="s">
        <v>202</v>
      </c>
    </row>
    <row r="45" spans="1:30" ht="21" customHeight="1">
      <c r="A45" s="420"/>
      <c r="B45" s="403"/>
      <c r="C45" s="428"/>
      <c r="D45" s="428"/>
      <c r="E45" s="428"/>
      <c r="G45" s="420"/>
      <c r="H45" s="403"/>
      <c r="I45" s="428"/>
      <c r="J45" s="428"/>
      <c r="K45" s="428"/>
      <c r="M45" s="420"/>
      <c r="N45" s="403"/>
      <c r="O45" s="428"/>
      <c r="P45" s="428"/>
      <c r="Q45" s="428"/>
      <c r="V45" s="381" t="str">
        <f>IF($AA45="○",COUNTIF($AA$3:$AA45,"○"),"")</f>
        <v/>
      </c>
      <c r="W45" s="381" t="str">
        <f>IF($AB45="○",COUNTIF($AB$3:$AB45,"○"),"")</f>
        <v/>
      </c>
      <c r="X45" s="381" t="str">
        <f>IF($AC45="○",COUNTIF($AC$3:$AC45,"○"),"")</f>
        <v/>
      </c>
      <c r="Y45" s="444">
        <f t="shared" si="2"/>
        <v>0</v>
      </c>
      <c r="Z45" s="381">
        <f t="shared" si="2"/>
        <v>0</v>
      </c>
      <c r="AA45" s="381">
        <f t="shared" si="2"/>
        <v>0</v>
      </c>
      <c r="AB45" s="381">
        <f t="shared" si="2"/>
        <v>0</v>
      </c>
      <c r="AC45" s="450"/>
      <c r="AD45" s="381" t="s">
        <v>202</v>
      </c>
    </row>
    <row r="46" spans="1:30" ht="21" customHeight="1">
      <c r="A46" s="420"/>
      <c r="B46" s="403"/>
      <c r="C46" s="428"/>
      <c r="D46" s="428"/>
      <c r="E46" s="428"/>
      <c r="G46" s="420"/>
      <c r="H46" s="403"/>
      <c r="I46" s="428"/>
      <c r="J46" s="428"/>
      <c r="K46" s="428"/>
      <c r="M46" s="420"/>
      <c r="N46" s="403"/>
      <c r="O46" s="428"/>
      <c r="P46" s="428"/>
      <c r="Q46" s="428"/>
      <c r="V46" s="381" t="str">
        <f>IF($AA46="○",COUNTIF($AA$3:$AA46,"○"),"")</f>
        <v/>
      </c>
      <c r="W46" s="381" t="str">
        <f>IF($AB46="○",COUNTIF($AB$3:$AB46,"○"),"")</f>
        <v/>
      </c>
      <c r="X46" s="381" t="str">
        <f>IF($AC46="○",COUNTIF($AC$3:$AC46,"○"),"")</f>
        <v/>
      </c>
      <c r="Y46" s="444">
        <f t="shared" si="2"/>
        <v>0</v>
      </c>
      <c r="Z46" s="381">
        <f t="shared" si="2"/>
        <v>0</v>
      </c>
      <c r="AA46" s="381">
        <f t="shared" si="2"/>
        <v>0</v>
      </c>
      <c r="AB46" s="381">
        <f t="shared" si="2"/>
        <v>0</v>
      </c>
      <c r="AC46" s="450"/>
      <c r="AD46" s="381" t="s">
        <v>202</v>
      </c>
    </row>
    <row r="47" spans="1:30" ht="21" customHeight="1">
      <c r="A47" s="420"/>
      <c r="B47" s="403"/>
      <c r="C47" s="428"/>
      <c r="D47" s="428"/>
      <c r="E47" s="428"/>
      <c r="G47" s="420"/>
      <c r="H47" s="403"/>
      <c r="I47" s="428"/>
      <c r="J47" s="428"/>
      <c r="K47" s="428"/>
      <c r="M47" s="420"/>
      <c r="N47" s="403"/>
      <c r="O47" s="428"/>
      <c r="P47" s="428"/>
      <c r="Q47" s="428"/>
      <c r="V47" s="381" t="str">
        <f>IF($AA47="○",COUNTIF($AA$3:$AA47,"○"),"")</f>
        <v/>
      </c>
      <c r="W47" s="381" t="str">
        <f>IF($AB47="○",COUNTIF($AB$3:$AB47,"○"),"")</f>
        <v/>
      </c>
      <c r="X47" s="381" t="str">
        <f>IF($AC47="○",COUNTIF($AC$3:$AC47,"○"),"")</f>
        <v/>
      </c>
      <c r="Y47" s="444">
        <f t="shared" si="2"/>
        <v>0</v>
      </c>
      <c r="Z47" s="381">
        <f t="shared" si="2"/>
        <v>0</v>
      </c>
      <c r="AA47" s="381">
        <f t="shared" si="2"/>
        <v>0</v>
      </c>
      <c r="AB47" s="381">
        <f t="shared" si="2"/>
        <v>0</v>
      </c>
      <c r="AC47" s="450"/>
      <c r="AD47" s="381" t="s">
        <v>202</v>
      </c>
    </row>
    <row r="48" spans="1:30" ht="21" customHeight="1">
      <c r="A48" s="420"/>
      <c r="B48" s="403"/>
      <c r="C48" s="428"/>
      <c r="D48" s="428"/>
      <c r="E48" s="428"/>
      <c r="G48" s="420"/>
      <c r="H48" s="403"/>
      <c r="I48" s="428"/>
      <c r="J48" s="428"/>
      <c r="K48" s="428"/>
      <c r="M48" s="420"/>
      <c r="N48" s="403"/>
      <c r="O48" s="428"/>
      <c r="P48" s="428"/>
      <c r="Q48" s="428"/>
      <c r="V48" s="381" t="str">
        <f>IF($AA48="○",COUNTIF($AA$3:$AA48,"○"),"")</f>
        <v/>
      </c>
      <c r="W48" s="381" t="str">
        <f>IF($AB48="○",COUNTIF($AB$3:$AB48,"○"),"")</f>
        <v/>
      </c>
      <c r="X48" s="381" t="str">
        <f>IF($AC48="○",COUNTIF($AC$3:$AC48,"○"),"")</f>
        <v/>
      </c>
      <c r="Y48" s="444">
        <f t="shared" si="2"/>
        <v>0</v>
      </c>
      <c r="Z48" s="381">
        <f t="shared" si="2"/>
        <v>0</v>
      </c>
      <c r="AA48" s="381">
        <f t="shared" si="2"/>
        <v>0</v>
      </c>
      <c r="AB48" s="381">
        <f t="shared" si="2"/>
        <v>0</v>
      </c>
      <c r="AC48" s="450"/>
      <c r="AD48" s="381" t="s">
        <v>202</v>
      </c>
    </row>
    <row r="49" spans="1:30" ht="21" customHeight="1">
      <c r="A49" s="421" t="s">
        <v>112</v>
      </c>
      <c r="B49" s="425">
        <f>SUM(B29:B48)</f>
        <v>50000</v>
      </c>
      <c r="C49" s="425">
        <f>SUMIF($C$29:$C$48,"○",$B$29:$B$48)</f>
        <v>0</v>
      </c>
      <c r="D49" s="425">
        <f>SUMIF($D$29:$D$48,"○",$B$29:$B$48)</f>
        <v>0</v>
      </c>
      <c r="E49" s="425">
        <f>SUMIF($E$29:$E$48,"○",$B$29:$B$48)</f>
        <v>0</v>
      </c>
      <c r="G49" s="421" t="s">
        <v>112</v>
      </c>
      <c r="H49" s="425">
        <f>SUM(H29:H48)</f>
        <v>5000</v>
      </c>
      <c r="I49" s="425">
        <f>SUMIF($I$29:$I$48,"○",$H$29:$H$48)</f>
        <v>5000</v>
      </c>
      <c r="J49" s="425">
        <f>SUMIF($J$29:$J$48,"○",$H$29:$H$48)</f>
        <v>0</v>
      </c>
      <c r="K49" s="425">
        <f>SUMIF($K$29:$K$48,"○",$H$29:$H$48)</f>
        <v>0</v>
      </c>
      <c r="M49" s="421" t="s">
        <v>112</v>
      </c>
      <c r="N49" s="425">
        <f>SUM(N29:N48)</f>
        <v>5000</v>
      </c>
      <c r="O49" s="425">
        <f>SUMIF($O$29:$O$48,"○",$N$29:$N$48)</f>
        <v>0</v>
      </c>
      <c r="P49" s="425">
        <f>SUMIF($P$29:$P$48,"○",$N$29:$N$48)</f>
        <v>0</v>
      </c>
      <c r="Q49" s="425">
        <f>SUMIF($Q$29:$Q$48,"○",$N$29:$N$48)</f>
        <v>0</v>
      </c>
      <c r="V49" s="381" t="str">
        <f>IF($AA49="○",COUNTIF($AA$3:$AA49,"○"),"")</f>
        <v/>
      </c>
      <c r="W49" s="381" t="str">
        <f>IF($AB49="○",COUNTIF($AB$3:$AB49,"○"),"")</f>
        <v/>
      </c>
      <c r="X49" s="381" t="str">
        <f>IF($AC49="○",COUNTIF($AC$3:$AC49,"○"),"")</f>
        <v/>
      </c>
      <c r="Y49" s="444">
        <f t="shared" si="2"/>
        <v>0</v>
      </c>
      <c r="Z49" s="381">
        <f t="shared" si="2"/>
        <v>0</v>
      </c>
      <c r="AA49" s="381">
        <f t="shared" si="2"/>
        <v>0</v>
      </c>
      <c r="AB49" s="381">
        <f t="shared" si="2"/>
        <v>0</v>
      </c>
      <c r="AC49" s="450"/>
      <c r="AD49" s="381" t="s">
        <v>202</v>
      </c>
    </row>
    <row r="50" spans="1:30">
      <c r="V50" s="381" t="str">
        <f>IF($AA50="○",COUNTIF($AA$3:$AA50,"○"),"")</f>
        <v/>
      </c>
      <c r="W50" s="381" t="str">
        <f>IF($AB50="○",COUNTIF($AB$3:$AB50,"○"),"")</f>
        <v/>
      </c>
      <c r="X50" s="381" t="str">
        <f>IF($AC50="○",COUNTIF($AC$3:$AC50,"○"),"")</f>
        <v/>
      </c>
      <c r="Y50" s="444">
        <f t="shared" si="2"/>
        <v>0</v>
      </c>
      <c r="Z50" s="381">
        <f t="shared" si="2"/>
        <v>0</v>
      </c>
      <c r="AA50" s="381">
        <f t="shared" si="2"/>
        <v>0</v>
      </c>
      <c r="AB50" s="381">
        <f t="shared" si="2"/>
        <v>0</v>
      </c>
      <c r="AC50" s="450"/>
      <c r="AD50" s="381" t="s">
        <v>202</v>
      </c>
    </row>
    <row r="51" spans="1:30" ht="15">
      <c r="V51" s="381" t="str">
        <f>IF($AA51="○",COUNTIF($AA$3:$AA51,"○"),"")</f>
        <v/>
      </c>
      <c r="W51" s="381" t="str">
        <f>IF($AB51="○",COUNTIF($AB$3:$AB51,"○"),"")</f>
        <v/>
      </c>
      <c r="X51" s="381" t="str">
        <f>IF($AC51="○",COUNTIF($AC$3:$AC51,"○"),"")</f>
        <v/>
      </c>
      <c r="Y51" s="444">
        <f t="shared" si="2"/>
        <v>0</v>
      </c>
      <c r="Z51" s="381">
        <f t="shared" si="2"/>
        <v>0</v>
      </c>
      <c r="AA51" s="381">
        <f t="shared" si="2"/>
        <v>0</v>
      </c>
      <c r="AB51" s="381">
        <f t="shared" si="2"/>
        <v>0</v>
      </c>
      <c r="AC51" s="450"/>
      <c r="AD51" s="381" t="s">
        <v>202</v>
      </c>
    </row>
    <row r="52" spans="1:30" ht="39" customHeight="1">
      <c r="A52" s="423" t="s">
        <v>143</v>
      </c>
      <c r="B52" s="426">
        <f>$B$24+$H$24+$N$24+$B$49+$H$49+$N$49</f>
        <v>8000000</v>
      </c>
      <c r="D52" s="431"/>
      <c r="E52" s="432" t="s">
        <v>146</v>
      </c>
      <c r="F52" s="433"/>
      <c r="G52" s="426">
        <f>$C$24+$I$24+$O$24+$C$49+$I$49+$O$49</f>
        <v>35000</v>
      </c>
      <c r="H52" s="434"/>
      <c r="I52" s="432" t="s">
        <v>147</v>
      </c>
      <c r="J52" s="435"/>
      <c r="K52" s="436">
        <f>$J$24+$P$24+$D$49+$J$49+$P$49</f>
        <v>0</v>
      </c>
      <c r="L52" s="437"/>
      <c r="N52" s="438" t="s">
        <v>148</v>
      </c>
      <c r="O52" s="436">
        <f>$K$24+$E$49+$K$49+$Q$49</f>
        <v>7900000</v>
      </c>
      <c r="P52" s="437"/>
      <c r="V52" s="381" t="str">
        <f>IF($AA52="○",COUNTIF($AA$3:$AA52,"○"),"")</f>
        <v/>
      </c>
      <c r="W52" s="381" t="str">
        <f>IF($AB52="○",COUNTIF($AB$3:$AB52,"○"),"")</f>
        <v/>
      </c>
      <c r="X52" s="381" t="str">
        <f>IF($AC52="○",COUNTIF($AC$3:$AC52,"○"),"")</f>
        <v/>
      </c>
      <c r="Y52" s="444">
        <f t="shared" si="2"/>
        <v>0</v>
      </c>
      <c r="Z52" s="381">
        <f t="shared" si="2"/>
        <v>0</v>
      </c>
      <c r="AA52" s="381">
        <f t="shared" si="2"/>
        <v>0</v>
      </c>
      <c r="AB52" s="381">
        <f t="shared" si="2"/>
        <v>0</v>
      </c>
      <c r="AC52" s="450"/>
      <c r="AD52" s="381" t="s">
        <v>202</v>
      </c>
    </row>
    <row r="53" spans="1:30">
      <c r="V53" s="381" t="str">
        <f>IF($AA53="○",COUNTIF($AA$3:$AA53,"○"),"")</f>
        <v/>
      </c>
      <c r="W53" s="381" t="str">
        <f>IF($AB53="○",COUNTIF($AB$3:$AB53,"○"),"")</f>
        <v/>
      </c>
      <c r="X53" s="381" t="str">
        <f>IF($AC53="○",COUNTIF($AC$3:$AC53,"○"),"")</f>
        <v/>
      </c>
      <c r="Y53" s="444">
        <f t="shared" si="2"/>
        <v>0</v>
      </c>
      <c r="Z53" s="381">
        <f t="shared" si="2"/>
        <v>0</v>
      </c>
      <c r="AA53" s="381">
        <f t="shared" si="2"/>
        <v>0</v>
      </c>
      <c r="AB53" s="381">
        <f t="shared" si="2"/>
        <v>0</v>
      </c>
      <c r="AC53" s="450"/>
      <c r="AD53" s="381" t="s">
        <v>202</v>
      </c>
    </row>
    <row r="54" spans="1:30">
      <c r="V54" s="381" t="str">
        <f>IF($AA54="○",COUNTIF($AA$3:$AA54,"○"),"")</f>
        <v/>
      </c>
      <c r="W54" s="381" t="str">
        <f>IF($AB54="○",COUNTIF($AB$3:$AB54,"○"),"")</f>
        <v/>
      </c>
      <c r="X54" s="381" t="str">
        <f>IF($AC54="○",COUNTIF($AC$3:$AC54,"○"),"")</f>
        <v/>
      </c>
      <c r="Y54" s="444">
        <f t="shared" si="2"/>
        <v>0</v>
      </c>
      <c r="Z54" s="381">
        <f t="shared" si="2"/>
        <v>0</v>
      </c>
      <c r="AA54" s="381">
        <f t="shared" si="2"/>
        <v>0</v>
      </c>
      <c r="AB54" s="381">
        <f t="shared" si="2"/>
        <v>0</v>
      </c>
      <c r="AC54" s="450"/>
      <c r="AD54" s="381" t="s">
        <v>202</v>
      </c>
    </row>
    <row r="55" spans="1:30">
      <c r="V55" s="381" t="str">
        <f>IF($AA55="○",COUNTIF($AA$3:$AA55,"○"),"")</f>
        <v/>
      </c>
      <c r="W55" s="381" t="str">
        <f>IF($AB55="○",COUNTIF($AB$3:$AB55,"○"),"")</f>
        <v/>
      </c>
      <c r="X55" s="381" t="str">
        <f>IF($AC55="○",COUNTIF($AC$3:$AC55,"○"),"")</f>
        <v/>
      </c>
      <c r="Y55" s="444">
        <f t="shared" si="2"/>
        <v>0</v>
      </c>
      <c r="Z55" s="381">
        <f t="shared" si="2"/>
        <v>0</v>
      </c>
      <c r="AA55" s="381">
        <f t="shared" si="2"/>
        <v>0</v>
      </c>
      <c r="AB55" s="381">
        <f t="shared" si="2"/>
        <v>0</v>
      </c>
      <c r="AC55" s="450"/>
      <c r="AD55" s="381" t="s">
        <v>202</v>
      </c>
    </row>
    <row r="56" spans="1:30">
      <c r="V56" s="381" t="str">
        <f>IF($AA56="○",COUNTIF($AA$3:$AA56,"○"),"")</f>
        <v/>
      </c>
      <c r="W56" s="381" t="str">
        <f>IF($AB56="○",COUNTIF($AB$3:$AB56,"○"),"")</f>
        <v/>
      </c>
      <c r="X56" s="381" t="str">
        <f>IF($AC56="○",COUNTIF($AC$3:$AC56,"○"),"")</f>
        <v/>
      </c>
      <c r="Y56" s="444">
        <f t="shared" si="2"/>
        <v>0</v>
      </c>
      <c r="Z56" s="381">
        <f t="shared" si="2"/>
        <v>0</v>
      </c>
      <c r="AA56" s="381">
        <f t="shared" si="2"/>
        <v>0</v>
      </c>
      <c r="AB56" s="381">
        <f t="shared" si="2"/>
        <v>0</v>
      </c>
      <c r="AC56" s="450"/>
      <c r="AD56" s="381" t="s">
        <v>202</v>
      </c>
    </row>
    <row r="57" spans="1:30">
      <c r="V57" s="381" t="str">
        <f>IF($AA57="○",COUNTIF($AA$3:$AA57,"○"),"")</f>
        <v/>
      </c>
      <c r="W57" s="381" t="str">
        <f>IF($AB57="○",COUNTIF($AB$3:$AB57,"○"),"")</f>
        <v/>
      </c>
      <c r="X57" s="381" t="str">
        <f>IF($AC57="○",COUNTIF($AC$3:$AC57,"○"),"")</f>
        <v/>
      </c>
      <c r="Y57" s="444">
        <f t="shared" si="2"/>
        <v>0</v>
      </c>
      <c r="Z57" s="381">
        <f t="shared" si="2"/>
        <v>0</v>
      </c>
      <c r="AA57" s="381">
        <f t="shared" si="2"/>
        <v>0</v>
      </c>
      <c r="AB57" s="381">
        <f t="shared" si="2"/>
        <v>0</v>
      </c>
      <c r="AC57" s="450"/>
      <c r="AD57" s="381" t="s">
        <v>202</v>
      </c>
    </row>
    <row r="58" spans="1:30">
      <c r="V58" s="381" t="str">
        <f>IF($AA58="○",COUNTIF($AA$3:$AA58,"○"),"")</f>
        <v/>
      </c>
      <c r="W58" s="381" t="str">
        <f>IF($AB58="○",COUNTIF($AB$3:$AB58,"○"),"")</f>
        <v/>
      </c>
      <c r="X58" s="381" t="str">
        <f>IF($AC58="○",COUNTIF($AC$3:$AC58,"○"),"")</f>
        <v/>
      </c>
      <c r="Y58" s="444">
        <f t="shared" si="2"/>
        <v>0</v>
      </c>
      <c r="Z58" s="381">
        <f t="shared" si="2"/>
        <v>0</v>
      </c>
      <c r="AA58" s="381">
        <f t="shared" si="2"/>
        <v>0</v>
      </c>
      <c r="AB58" s="381">
        <f t="shared" si="2"/>
        <v>0</v>
      </c>
      <c r="AC58" s="450"/>
      <c r="AD58" s="381" t="s">
        <v>202</v>
      </c>
    </row>
    <row r="59" spans="1:30">
      <c r="V59" s="381" t="str">
        <f>IF($AA59="○",COUNTIF($AA$3:$AA59,"○"),"")</f>
        <v/>
      </c>
      <c r="W59" s="381" t="str">
        <f>IF($AB59="○",COUNTIF($AB$3:$AB59,"○"),"")</f>
        <v/>
      </c>
      <c r="X59" s="381" t="str">
        <f>IF($AC59="○",COUNTIF($AC$3:$AC59,"○"),"")</f>
        <v/>
      </c>
      <c r="Y59" s="444">
        <f t="shared" si="2"/>
        <v>0</v>
      </c>
      <c r="Z59" s="381">
        <f t="shared" si="2"/>
        <v>0</v>
      </c>
      <c r="AA59" s="381">
        <f t="shared" si="2"/>
        <v>0</v>
      </c>
      <c r="AB59" s="381">
        <f t="shared" si="2"/>
        <v>0</v>
      </c>
      <c r="AC59" s="450"/>
      <c r="AD59" s="381" t="s">
        <v>202</v>
      </c>
    </row>
    <row r="60" spans="1:30">
      <c r="V60" s="381" t="str">
        <f>IF($AA60="○",COUNTIF($AA$3:$AA60,"○"),"")</f>
        <v/>
      </c>
      <c r="W60" s="381" t="str">
        <f>IF($AB60="○",COUNTIF($AB$3:$AB60,"○"),"")</f>
        <v/>
      </c>
      <c r="X60" s="381" t="str">
        <f>IF($AC60="○",COUNTIF($AC$3:$AC60,"○"),"")</f>
        <v/>
      </c>
      <c r="Y60" s="444">
        <f t="shared" si="2"/>
        <v>0</v>
      </c>
      <c r="Z60" s="381">
        <f t="shared" si="2"/>
        <v>0</v>
      </c>
      <c r="AA60" s="381">
        <f t="shared" si="2"/>
        <v>0</v>
      </c>
      <c r="AB60" s="381">
        <f t="shared" si="2"/>
        <v>0</v>
      </c>
      <c r="AC60" s="450"/>
      <c r="AD60" s="381" t="s">
        <v>202</v>
      </c>
    </row>
    <row r="61" spans="1:30">
      <c r="V61" s="381" t="str">
        <f>IF($AA61="○",COUNTIF($AA$3:$AA61,"○"),"")</f>
        <v/>
      </c>
      <c r="W61" s="381" t="str">
        <f>IF($AB61="○",COUNTIF($AB$3:$AB61,"○"),"")</f>
        <v/>
      </c>
      <c r="X61" s="381" t="str">
        <f>IF($AC61="○",COUNTIF($AC$3:$AC61,"○"),"")</f>
        <v/>
      </c>
      <c r="Y61" s="444">
        <f t="shared" si="2"/>
        <v>0</v>
      </c>
      <c r="Z61" s="381">
        <f t="shared" si="2"/>
        <v>0</v>
      </c>
      <c r="AA61" s="381">
        <f t="shared" si="2"/>
        <v>0</v>
      </c>
      <c r="AB61" s="381">
        <f t="shared" si="2"/>
        <v>0</v>
      </c>
      <c r="AC61" s="450"/>
      <c r="AD61" s="381" t="s">
        <v>202</v>
      </c>
    </row>
    <row r="62" spans="1:30" ht="15">
      <c r="V62" s="381" t="str">
        <f>IF($AA62="○",COUNTIF($AA$3:$AA62,"○"),"")</f>
        <v/>
      </c>
      <c r="W62" s="381" t="str">
        <f>IF($AB62="○",COUNTIF($AB$3:$AB62,"○"),"")</f>
        <v/>
      </c>
      <c r="X62" s="381" t="str">
        <f>IF($AC62="○",COUNTIF($AC$3:$AC62,"○"),"")</f>
        <v/>
      </c>
      <c r="Y62" s="445">
        <f t="shared" si="2"/>
        <v>0</v>
      </c>
      <c r="Z62" s="448">
        <f t="shared" si="2"/>
        <v>0</v>
      </c>
      <c r="AA62" s="448">
        <f t="shared" si="2"/>
        <v>0</v>
      </c>
      <c r="AB62" s="448">
        <f t="shared" si="2"/>
        <v>0</v>
      </c>
      <c r="AC62" s="451"/>
      <c r="AD62" s="381" t="s">
        <v>202</v>
      </c>
    </row>
    <row r="63" spans="1:30">
      <c r="V63" s="381" t="str">
        <f>IF($AA63="○",COUNTIF($AA$3:$AA63,"○"),"")</f>
        <v/>
      </c>
      <c r="W63" s="381" t="str">
        <f>IF($AB63="○",COUNTIF($AB$3:$AB63,"○"),"")</f>
        <v/>
      </c>
      <c r="X63" s="381" t="str">
        <f>IF($AC63="○",COUNTIF($AC$3:$AC63,"○"),"")</f>
        <v/>
      </c>
      <c r="Y63" s="443" t="str">
        <f t="shared" ref="Y63:AC82" si="3">A29</f>
        <v>ワイヤーメッシュ</v>
      </c>
      <c r="Z63" s="447">
        <f t="shared" si="3"/>
        <v>50000</v>
      </c>
      <c r="AA63" s="447">
        <f t="shared" si="3"/>
        <v>0</v>
      </c>
      <c r="AB63" s="447">
        <f t="shared" si="3"/>
        <v>0</v>
      </c>
      <c r="AC63" s="449">
        <f t="shared" si="3"/>
        <v>0</v>
      </c>
      <c r="AD63" s="381" t="s">
        <v>203</v>
      </c>
    </row>
    <row r="64" spans="1:30">
      <c r="V64" s="381" t="str">
        <f>IF($AA64="○",COUNTIF($AA$3:$AA64,"○"),"")</f>
        <v/>
      </c>
      <c r="W64" s="381" t="str">
        <f>IF($AB64="○",COUNTIF($AB$3:$AB64,"○"),"")</f>
        <v/>
      </c>
      <c r="X64" s="381" t="str">
        <f>IF($AC64="○",COUNTIF($AC$3:$AC64,"○"),"")</f>
        <v/>
      </c>
      <c r="Y64" s="444">
        <f t="shared" si="3"/>
        <v>0</v>
      </c>
      <c r="Z64" s="381">
        <f t="shared" si="3"/>
        <v>0</v>
      </c>
      <c r="AA64" s="381">
        <f t="shared" si="3"/>
        <v>0</v>
      </c>
      <c r="AB64" s="381">
        <f t="shared" si="3"/>
        <v>0</v>
      </c>
      <c r="AC64" s="450">
        <f t="shared" si="3"/>
        <v>0</v>
      </c>
      <c r="AD64" s="381" t="s">
        <v>203</v>
      </c>
    </row>
    <row r="65" spans="22:30">
      <c r="V65" s="381" t="str">
        <f>IF($AA65="○",COUNTIF($AA$3:$AA65,"○"),"")</f>
        <v/>
      </c>
      <c r="W65" s="381" t="str">
        <f>IF($AB65="○",COUNTIF($AB$3:$AB65,"○"),"")</f>
        <v/>
      </c>
      <c r="X65" s="381" t="str">
        <f>IF($AC65="○",COUNTIF($AC$3:$AC65,"○"),"")</f>
        <v/>
      </c>
      <c r="Y65" s="444">
        <f t="shared" si="3"/>
        <v>0</v>
      </c>
      <c r="Z65" s="381">
        <f t="shared" si="3"/>
        <v>0</v>
      </c>
      <c r="AA65" s="381">
        <f t="shared" si="3"/>
        <v>0</v>
      </c>
      <c r="AB65" s="381">
        <f t="shared" si="3"/>
        <v>0</v>
      </c>
      <c r="AC65" s="450">
        <f t="shared" si="3"/>
        <v>0</v>
      </c>
      <c r="AD65" s="381" t="s">
        <v>203</v>
      </c>
    </row>
    <row r="66" spans="22:30">
      <c r="V66" s="381" t="str">
        <f>IF($AA66="○",COUNTIF($AA$3:$AA66,"○"),"")</f>
        <v/>
      </c>
      <c r="W66" s="381" t="str">
        <f>IF($AB66="○",COUNTIF($AB$3:$AB66,"○"),"")</f>
        <v/>
      </c>
      <c r="X66" s="381" t="str">
        <f>IF($AC66="○",COUNTIF($AC$3:$AC66,"○"),"")</f>
        <v/>
      </c>
      <c r="Y66" s="444">
        <f t="shared" si="3"/>
        <v>0</v>
      </c>
      <c r="Z66" s="381">
        <f t="shared" si="3"/>
        <v>0</v>
      </c>
      <c r="AA66" s="381">
        <f t="shared" si="3"/>
        <v>0</v>
      </c>
      <c r="AB66" s="381">
        <f t="shared" si="3"/>
        <v>0</v>
      </c>
      <c r="AC66" s="450">
        <f t="shared" si="3"/>
        <v>0</v>
      </c>
      <c r="AD66" s="381" t="s">
        <v>203</v>
      </c>
    </row>
    <row r="67" spans="22:30">
      <c r="V67" s="381" t="str">
        <f>IF($AA67="○",COUNTIF($AA$3:$AA67,"○"),"")</f>
        <v/>
      </c>
      <c r="W67" s="381" t="str">
        <f>IF($AB67="○",COUNTIF($AB$3:$AB67,"○"),"")</f>
        <v/>
      </c>
      <c r="X67" s="381" t="str">
        <f>IF($AC67="○",COUNTIF($AC$3:$AC67,"○"),"")</f>
        <v/>
      </c>
      <c r="Y67" s="444">
        <f t="shared" si="3"/>
        <v>0</v>
      </c>
      <c r="Z67" s="381">
        <f t="shared" si="3"/>
        <v>0</v>
      </c>
      <c r="AA67" s="381">
        <f t="shared" si="3"/>
        <v>0</v>
      </c>
      <c r="AB67" s="381">
        <f t="shared" si="3"/>
        <v>0</v>
      </c>
      <c r="AC67" s="450">
        <f t="shared" si="3"/>
        <v>0</v>
      </c>
      <c r="AD67" s="381" t="s">
        <v>203</v>
      </c>
    </row>
    <row r="68" spans="22:30">
      <c r="V68" s="381" t="str">
        <f>IF($AA68="○",COUNTIF($AA$3:$AA68,"○"),"")</f>
        <v/>
      </c>
      <c r="W68" s="381" t="str">
        <f>IF($AB68="○",COUNTIF($AB$3:$AB68,"○"),"")</f>
        <v/>
      </c>
      <c r="X68" s="381" t="str">
        <f>IF($AC68="○",COUNTIF($AC$3:$AC68,"○"),"")</f>
        <v/>
      </c>
      <c r="Y68" s="444">
        <f t="shared" si="3"/>
        <v>0</v>
      </c>
      <c r="Z68" s="381">
        <f t="shared" si="3"/>
        <v>0</v>
      </c>
      <c r="AA68" s="381">
        <f t="shared" si="3"/>
        <v>0</v>
      </c>
      <c r="AB68" s="381">
        <f t="shared" si="3"/>
        <v>0</v>
      </c>
      <c r="AC68" s="450">
        <f t="shared" si="3"/>
        <v>0</v>
      </c>
      <c r="AD68" s="381" t="s">
        <v>203</v>
      </c>
    </row>
    <row r="69" spans="22:30">
      <c r="V69" s="381" t="str">
        <f>IF($AA69="○",COUNTIF($AA$3:$AA69,"○"),"")</f>
        <v/>
      </c>
      <c r="W69" s="381" t="str">
        <f>IF($AB69="○",COUNTIF($AB$3:$AB69,"○"),"")</f>
        <v/>
      </c>
      <c r="X69" s="381" t="str">
        <f>IF($AC69="○",COUNTIF($AC$3:$AC69,"○"),"")</f>
        <v/>
      </c>
      <c r="Y69" s="444">
        <f t="shared" si="3"/>
        <v>0</v>
      </c>
      <c r="Z69" s="381">
        <f t="shared" si="3"/>
        <v>0</v>
      </c>
      <c r="AA69" s="381">
        <f t="shared" si="3"/>
        <v>0</v>
      </c>
      <c r="AB69" s="381">
        <f t="shared" si="3"/>
        <v>0</v>
      </c>
      <c r="AC69" s="450">
        <f t="shared" si="3"/>
        <v>0</v>
      </c>
      <c r="AD69" s="381" t="s">
        <v>203</v>
      </c>
    </row>
    <row r="70" spans="22:30">
      <c r="V70" s="381" t="str">
        <f>IF($AA70="○",COUNTIF($AA$3:$AA70,"○"),"")</f>
        <v/>
      </c>
      <c r="W70" s="381" t="str">
        <f>IF($AB70="○",COUNTIF($AB$3:$AB70,"○"),"")</f>
        <v/>
      </c>
      <c r="X70" s="381" t="str">
        <f>IF($AC70="○",COUNTIF($AC$3:$AC70,"○"),"")</f>
        <v/>
      </c>
      <c r="Y70" s="444">
        <f t="shared" si="3"/>
        <v>0</v>
      </c>
      <c r="Z70" s="381">
        <f t="shared" si="3"/>
        <v>0</v>
      </c>
      <c r="AA70" s="381">
        <f t="shared" si="3"/>
        <v>0</v>
      </c>
      <c r="AB70" s="381">
        <f t="shared" si="3"/>
        <v>0</v>
      </c>
      <c r="AC70" s="450">
        <f t="shared" si="3"/>
        <v>0</v>
      </c>
      <c r="AD70" s="381" t="s">
        <v>203</v>
      </c>
    </row>
    <row r="71" spans="22:30">
      <c r="V71" s="381" t="str">
        <f>IF($AA71="○",COUNTIF($AA$3:$AA71,"○"),"")</f>
        <v/>
      </c>
      <c r="W71" s="381" t="str">
        <f>IF($AB71="○",COUNTIF($AB$3:$AB71,"○"),"")</f>
        <v/>
      </c>
      <c r="X71" s="381" t="str">
        <f>IF($AC71="○",COUNTIF($AC$3:$AC71,"○"),"")</f>
        <v/>
      </c>
      <c r="Y71" s="444">
        <f t="shared" si="3"/>
        <v>0</v>
      </c>
      <c r="Z71" s="381">
        <f t="shared" si="3"/>
        <v>0</v>
      </c>
      <c r="AA71" s="381">
        <f t="shared" si="3"/>
        <v>0</v>
      </c>
      <c r="AB71" s="381">
        <f t="shared" si="3"/>
        <v>0</v>
      </c>
      <c r="AC71" s="450">
        <f t="shared" si="3"/>
        <v>0</v>
      </c>
      <c r="AD71" s="381" t="s">
        <v>203</v>
      </c>
    </row>
    <row r="72" spans="22:30">
      <c r="V72" s="381" t="str">
        <f>IF($AA72="○",COUNTIF($AA$3:$AA72,"○"),"")</f>
        <v/>
      </c>
      <c r="W72" s="381" t="str">
        <f>IF($AB72="○",COUNTIF($AB$3:$AB72,"○"),"")</f>
        <v/>
      </c>
      <c r="X72" s="381" t="str">
        <f>IF($AC72="○",COUNTIF($AC$3:$AC72,"○"),"")</f>
        <v/>
      </c>
      <c r="Y72" s="444">
        <f t="shared" si="3"/>
        <v>0</v>
      </c>
      <c r="Z72" s="381">
        <f t="shared" si="3"/>
        <v>0</v>
      </c>
      <c r="AA72" s="381">
        <f t="shared" si="3"/>
        <v>0</v>
      </c>
      <c r="AB72" s="381">
        <f t="shared" si="3"/>
        <v>0</v>
      </c>
      <c r="AC72" s="450">
        <f t="shared" si="3"/>
        <v>0</v>
      </c>
      <c r="AD72" s="381" t="s">
        <v>203</v>
      </c>
    </row>
    <row r="73" spans="22:30">
      <c r="V73" s="381" t="str">
        <f>IF($AA73="○",COUNTIF($AA$3:$AA73,"○"),"")</f>
        <v/>
      </c>
      <c r="W73" s="381" t="str">
        <f>IF($AB73="○",COUNTIF($AB$3:$AB73,"○"),"")</f>
        <v/>
      </c>
      <c r="X73" s="381" t="str">
        <f>IF($AC73="○",COUNTIF($AC$3:$AC73,"○"),"")</f>
        <v/>
      </c>
      <c r="Y73" s="444">
        <f t="shared" si="3"/>
        <v>0</v>
      </c>
      <c r="Z73" s="381">
        <f t="shared" si="3"/>
        <v>0</v>
      </c>
      <c r="AA73" s="381">
        <f t="shared" si="3"/>
        <v>0</v>
      </c>
      <c r="AB73" s="381">
        <f t="shared" si="3"/>
        <v>0</v>
      </c>
      <c r="AC73" s="450">
        <f t="shared" si="3"/>
        <v>0</v>
      </c>
      <c r="AD73" s="381" t="s">
        <v>203</v>
      </c>
    </row>
    <row r="74" spans="22:30">
      <c r="V74" s="381" t="str">
        <f>IF($AA74="○",COUNTIF($AA$3:$AA74,"○"),"")</f>
        <v/>
      </c>
      <c r="W74" s="381" t="str">
        <f>IF($AB74="○",COUNTIF($AB$3:$AB74,"○"),"")</f>
        <v/>
      </c>
      <c r="X74" s="381" t="str">
        <f>IF($AC74="○",COUNTIF($AC$3:$AC74,"○"),"")</f>
        <v/>
      </c>
      <c r="Y74" s="444">
        <f t="shared" si="3"/>
        <v>0</v>
      </c>
      <c r="Z74" s="381">
        <f t="shared" si="3"/>
        <v>0</v>
      </c>
      <c r="AA74" s="381">
        <f t="shared" si="3"/>
        <v>0</v>
      </c>
      <c r="AB74" s="381">
        <f t="shared" si="3"/>
        <v>0</v>
      </c>
      <c r="AC74" s="450">
        <f t="shared" si="3"/>
        <v>0</v>
      </c>
      <c r="AD74" s="381" t="s">
        <v>203</v>
      </c>
    </row>
    <row r="75" spans="22:30">
      <c r="V75" s="381" t="str">
        <f>IF($AA75="○",COUNTIF($AA$3:$AA75,"○"),"")</f>
        <v/>
      </c>
      <c r="W75" s="381" t="str">
        <f>IF($AB75="○",COUNTIF($AB$3:$AB75,"○"),"")</f>
        <v/>
      </c>
      <c r="X75" s="381" t="str">
        <f>IF($AC75="○",COUNTIF($AC$3:$AC75,"○"),"")</f>
        <v/>
      </c>
      <c r="Y75" s="444">
        <f t="shared" si="3"/>
        <v>0</v>
      </c>
      <c r="Z75" s="381">
        <f t="shared" si="3"/>
        <v>0</v>
      </c>
      <c r="AA75" s="381">
        <f t="shared" si="3"/>
        <v>0</v>
      </c>
      <c r="AB75" s="381">
        <f t="shared" si="3"/>
        <v>0</v>
      </c>
      <c r="AC75" s="450">
        <f t="shared" si="3"/>
        <v>0</v>
      </c>
      <c r="AD75" s="381" t="s">
        <v>203</v>
      </c>
    </row>
    <row r="76" spans="22:30">
      <c r="V76" s="381" t="str">
        <f>IF($AA76="○",COUNTIF($AA$3:$AA76,"○"),"")</f>
        <v/>
      </c>
      <c r="W76" s="381" t="str">
        <f>IF($AB76="○",COUNTIF($AB$3:$AB76,"○"),"")</f>
        <v/>
      </c>
      <c r="X76" s="381" t="str">
        <f>IF($AC76="○",COUNTIF($AC$3:$AC76,"○"),"")</f>
        <v/>
      </c>
      <c r="Y76" s="444">
        <f t="shared" si="3"/>
        <v>0</v>
      </c>
      <c r="Z76" s="381">
        <f t="shared" si="3"/>
        <v>0</v>
      </c>
      <c r="AA76" s="381">
        <f t="shared" si="3"/>
        <v>0</v>
      </c>
      <c r="AB76" s="381">
        <f t="shared" si="3"/>
        <v>0</v>
      </c>
      <c r="AC76" s="450">
        <f t="shared" si="3"/>
        <v>0</v>
      </c>
      <c r="AD76" s="381" t="s">
        <v>203</v>
      </c>
    </row>
    <row r="77" spans="22:30">
      <c r="V77" s="381" t="str">
        <f>IF($AA77="○",COUNTIF($AA$3:$AA77,"○"),"")</f>
        <v/>
      </c>
      <c r="W77" s="381" t="str">
        <f>IF($AB77="○",COUNTIF($AB$3:$AB77,"○"),"")</f>
        <v/>
      </c>
      <c r="X77" s="381" t="str">
        <f>IF($AC77="○",COUNTIF($AC$3:$AC77,"○"),"")</f>
        <v/>
      </c>
      <c r="Y77" s="444">
        <f t="shared" si="3"/>
        <v>0</v>
      </c>
      <c r="Z77" s="381">
        <f t="shared" si="3"/>
        <v>0</v>
      </c>
      <c r="AA77" s="381">
        <f t="shared" si="3"/>
        <v>0</v>
      </c>
      <c r="AB77" s="381">
        <f t="shared" si="3"/>
        <v>0</v>
      </c>
      <c r="AC77" s="450">
        <f t="shared" si="3"/>
        <v>0</v>
      </c>
      <c r="AD77" s="381" t="s">
        <v>203</v>
      </c>
    </row>
    <row r="78" spans="22:30">
      <c r="V78" s="381" t="str">
        <f>IF($AA78="○",COUNTIF($AA$3:$AA78,"○"),"")</f>
        <v/>
      </c>
      <c r="W78" s="381" t="str">
        <f>IF($AB78="○",COUNTIF($AB$3:$AB78,"○"),"")</f>
        <v/>
      </c>
      <c r="X78" s="381" t="str">
        <f>IF($AC78="○",COUNTIF($AC$3:$AC78,"○"),"")</f>
        <v/>
      </c>
      <c r="Y78" s="444">
        <f t="shared" si="3"/>
        <v>0</v>
      </c>
      <c r="Z78" s="381">
        <f t="shared" si="3"/>
        <v>0</v>
      </c>
      <c r="AA78" s="381">
        <f t="shared" si="3"/>
        <v>0</v>
      </c>
      <c r="AB78" s="381">
        <f t="shared" si="3"/>
        <v>0</v>
      </c>
      <c r="AC78" s="450">
        <f t="shared" si="3"/>
        <v>0</v>
      </c>
      <c r="AD78" s="381" t="s">
        <v>203</v>
      </c>
    </row>
    <row r="79" spans="22:30">
      <c r="V79" s="381" t="str">
        <f>IF($AA79="○",COUNTIF($AA$3:$AA79,"○"),"")</f>
        <v/>
      </c>
      <c r="W79" s="381" t="str">
        <f>IF($AB79="○",COUNTIF($AB$3:$AB79,"○"),"")</f>
        <v/>
      </c>
      <c r="X79" s="381" t="str">
        <f>IF($AC79="○",COUNTIF($AC$3:$AC79,"○"),"")</f>
        <v/>
      </c>
      <c r="Y79" s="444">
        <f t="shared" si="3"/>
        <v>0</v>
      </c>
      <c r="Z79" s="381">
        <f t="shared" si="3"/>
        <v>0</v>
      </c>
      <c r="AA79" s="381">
        <f t="shared" si="3"/>
        <v>0</v>
      </c>
      <c r="AB79" s="381">
        <f t="shared" si="3"/>
        <v>0</v>
      </c>
      <c r="AC79" s="450">
        <f t="shared" si="3"/>
        <v>0</v>
      </c>
      <c r="AD79" s="381" t="s">
        <v>203</v>
      </c>
    </row>
    <row r="80" spans="22:30">
      <c r="V80" s="381" t="str">
        <f>IF($AA80="○",COUNTIF($AA$3:$AA80,"○"),"")</f>
        <v/>
      </c>
      <c r="W80" s="381" t="str">
        <f>IF($AB80="○",COUNTIF($AB$3:$AB80,"○"),"")</f>
        <v/>
      </c>
      <c r="X80" s="381" t="str">
        <f>IF($AC80="○",COUNTIF($AC$3:$AC80,"○"),"")</f>
        <v/>
      </c>
      <c r="Y80" s="444">
        <f t="shared" si="3"/>
        <v>0</v>
      </c>
      <c r="Z80" s="381">
        <f t="shared" si="3"/>
        <v>0</v>
      </c>
      <c r="AA80" s="381">
        <f t="shared" si="3"/>
        <v>0</v>
      </c>
      <c r="AB80" s="381">
        <f t="shared" si="3"/>
        <v>0</v>
      </c>
      <c r="AC80" s="450">
        <f t="shared" si="3"/>
        <v>0</v>
      </c>
      <c r="AD80" s="381" t="s">
        <v>203</v>
      </c>
    </row>
    <row r="81" spans="22:30">
      <c r="V81" s="381" t="str">
        <f>IF($AA81="○",COUNTIF($AA$3:$AA81,"○"),"")</f>
        <v/>
      </c>
      <c r="W81" s="381" t="str">
        <f>IF($AB81="○",COUNTIF($AB$3:$AB81,"○"),"")</f>
        <v/>
      </c>
      <c r="X81" s="381" t="str">
        <f>IF($AC81="○",COUNTIF($AC$3:$AC81,"○"),"")</f>
        <v/>
      </c>
      <c r="Y81" s="444">
        <f t="shared" si="3"/>
        <v>0</v>
      </c>
      <c r="Z81" s="381">
        <f t="shared" si="3"/>
        <v>0</v>
      </c>
      <c r="AA81" s="381">
        <f t="shared" si="3"/>
        <v>0</v>
      </c>
      <c r="AB81" s="381">
        <f t="shared" si="3"/>
        <v>0</v>
      </c>
      <c r="AC81" s="450">
        <f t="shared" si="3"/>
        <v>0</v>
      </c>
      <c r="AD81" s="381" t="s">
        <v>203</v>
      </c>
    </row>
    <row r="82" spans="22:30" ht="15">
      <c r="V82" s="381" t="str">
        <f>IF($AA82="○",COUNTIF($AA$3:$AA82,"○"),"")</f>
        <v/>
      </c>
      <c r="W82" s="381" t="str">
        <f>IF($AB82="○",COUNTIF($AB$3:$AB82,"○"),"")</f>
        <v/>
      </c>
      <c r="X82" s="381" t="str">
        <f>IF($AC82="○",COUNTIF($AC$3:$AC82,"○"),"")</f>
        <v/>
      </c>
      <c r="Y82" s="445">
        <f t="shared" si="3"/>
        <v>0</v>
      </c>
      <c r="Z82" s="448">
        <f t="shared" si="3"/>
        <v>0</v>
      </c>
      <c r="AA82" s="448">
        <f t="shared" si="3"/>
        <v>0</v>
      </c>
      <c r="AB82" s="448">
        <f t="shared" si="3"/>
        <v>0</v>
      </c>
      <c r="AC82" s="451">
        <f t="shared" si="3"/>
        <v>0</v>
      </c>
      <c r="AD82" s="381" t="s">
        <v>203</v>
      </c>
    </row>
    <row r="83" spans="22:30">
      <c r="V83" s="381">
        <f>IF($AA83="○",COUNTIF($AA$3:$AA83,"○"),"")</f>
        <v>5</v>
      </c>
      <c r="W83" s="381" t="str">
        <f>IF($AB83="○",COUNTIF($AB$3:$AB83,"○"),"")</f>
        <v/>
      </c>
      <c r="X83" s="381" t="str">
        <f>IF($AC83="○",COUNTIF($AC$3:$AC83,"○"),"")</f>
        <v/>
      </c>
      <c r="Y83" s="444" t="str">
        <f t="shared" ref="Y83:AC102" si="4">G29</f>
        <v>耕作放棄地草刈日当</v>
      </c>
      <c r="Z83" s="381">
        <f t="shared" si="4"/>
        <v>5000</v>
      </c>
      <c r="AA83" s="381" t="str">
        <f t="shared" si="4"/>
        <v>○</v>
      </c>
      <c r="AB83" s="381">
        <f t="shared" si="4"/>
        <v>0</v>
      </c>
      <c r="AC83" s="450">
        <f t="shared" si="4"/>
        <v>0</v>
      </c>
      <c r="AD83" s="381" t="s">
        <v>205</v>
      </c>
    </row>
    <row r="84" spans="22:30">
      <c r="V84" s="381" t="str">
        <f>IF($AA84="○",COUNTIF($AA$3:$AA84,"○"),"")</f>
        <v/>
      </c>
      <c r="W84" s="381" t="str">
        <f>IF($AB84="○",COUNTIF($AB$3:$AB84,"○"),"")</f>
        <v/>
      </c>
      <c r="X84" s="381" t="str">
        <f>IF($AC84="○",COUNTIF($AC$3:$AC84,"○"),"")</f>
        <v/>
      </c>
      <c r="Y84" s="444">
        <f t="shared" si="4"/>
        <v>0</v>
      </c>
      <c r="Z84" s="381">
        <f t="shared" si="4"/>
        <v>0</v>
      </c>
      <c r="AA84" s="381">
        <f t="shared" si="4"/>
        <v>0</v>
      </c>
      <c r="AB84" s="381">
        <f t="shared" si="4"/>
        <v>0</v>
      </c>
      <c r="AC84" s="450">
        <f t="shared" si="4"/>
        <v>0</v>
      </c>
      <c r="AD84" s="381" t="s">
        <v>205</v>
      </c>
    </row>
    <row r="85" spans="22:30">
      <c r="V85" s="381" t="str">
        <f>IF($AA85="○",COUNTIF($AA$3:$AA85,"○"),"")</f>
        <v/>
      </c>
      <c r="W85" s="381" t="str">
        <f>IF($AB85="○",COUNTIF($AB$3:$AB85,"○"),"")</f>
        <v/>
      </c>
      <c r="X85" s="381" t="str">
        <f>IF($AC85="○",COUNTIF($AC$3:$AC85,"○"),"")</f>
        <v/>
      </c>
      <c r="Y85" s="444">
        <f t="shared" si="4"/>
        <v>0</v>
      </c>
      <c r="Z85" s="381">
        <f t="shared" si="4"/>
        <v>0</v>
      </c>
      <c r="AA85" s="381">
        <f t="shared" si="4"/>
        <v>0</v>
      </c>
      <c r="AB85" s="381">
        <f t="shared" si="4"/>
        <v>0</v>
      </c>
      <c r="AC85" s="450">
        <f t="shared" si="4"/>
        <v>0</v>
      </c>
      <c r="AD85" s="381" t="s">
        <v>205</v>
      </c>
    </row>
    <row r="86" spans="22:30">
      <c r="V86" s="381" t="str">
        <f>IF($AA86="○",COUNTIF($AA$3:$AA86,"○"),"")</f>
        <v/>
      </c>
      <c r="W86" s="381" t="str">
        <f>IF($AB86="○",COUNTIF($AB$3:$AB86,"○"),"")</f>
        <v/>
      </c>
      <c r="X86" s="381" t="str">
        <f>IF($AC86="○",COUNTIF($AC$3:$AC86,"○"),"")</f>
        <v/>
      </c>
      <c r="Y86" s="444">
        <f t="shared" si="4"/>
        <v>0</v>
      </c>
      <c r="Z86" s="381">
        <f t="shared" si="4"/>
        <v>0</v>
      </c>
      <c r="AA86" s="381">
        <f t="shared" si="4"/>
        <v>0</v>
      </c>
      <c r="AB86" s="381">
        <f t="shared" si="4"/>
        <v>0</v>
      </c>
      <c r="AC86" s="450">
        <f t="shared" si="4"/>
        <v>0</v>
      </c>
      <c r="AD86" s="381" t="s">
        <v>205</v>
      </c>
    </row>
    <row r="87" spans="22:30">
      <c r="V87" s="381" t="str">
        <f>IF($AA87="○",COUNTIF($AA$3:$AA87,"○"),"")</f>
        <v/>
      </c>
      <c r="W87" s="381" t="str">
        <f>IF($AB87="○",COUNTIF($AB$3:$AB87,"○"),"")</f>
        <v/>
      </c>
      <c r="X87" s="381" t="str">
        <f>IF($AC87="○",COUNTIF($AC$3:$AC87,"○"),"")</f>
        <v/>
      </c>
      <c r="Y87" s="444">
        <f t="shared" si="4"/>
        <v>0</v>
      </c>
      <c r="Z87" s="381">
        <f t="shared" si="4"/>
        <v>0</v>
      </c>
      <c r="AA87" s="381">
        <f t="shared" si="4"/>
        <v>0</v>
      </c>
      <c r="AB87" s="381">
        <f t="shared" si="4"/>
        <v>0</v>
      </c>
      <c r="AC87" s="450">
        <f t="shared" si="4"/>
        <v>0</v>
      </c>
      <c r="AD87" s="381" t="s">
        <v>205</v>
      </c>
    </row>
    <row r="88" spans="22:30">
      <c r="V88" s="381" t="str">
        <f>IF($AA88="○",COUNTIF($AA$3:$AA88,"○"),"")</f>
        <v/>
      </c>
      <c r="W88" s="381" t="str">
        <f>IF($AB88="○",COUNTIF($AB$3:$AB88,"○"),"")</f>
        <v/>
      </c>
      <c r="X88" s="381" t="str">
        <f>IF($AC88="○",COUNTIF($AC$3:$AC88,"○"),"")</f>
        <v/>
      </c>
      <c r="Y88" s="444">
        <f t="shared" si="4"/>
        <v>0</v>
      </c>
      <c r="Z88" s="381">
        <f t="shared" si="4"/>
        <v>0</v>
      </c>
      <c r="AA88" s="381">
        <f t="shared" si="4"/>
        <v>0</v>
      </c>
      <c r="AB88" s="381">
        <f t="shared" si="4"/>
        <v>0</v>
      </c>
      <c r="AC88" s="450">
        <f t="shared" si="4"/>
        <v>0</v>
      </c>
      <c r="AD88" s="381" t="s">
        <v>205</v>
      </c>
    </row>
    <row r="89" spans="22:30">
      <c r="V89" s="381" t="str">
        <f>IF($AA89="○",COUNTIF($AA$3:$AA89,"○"),"")</f>
        <v/>
      </c>
      <c r="W89" s="381" t="str">
        <f>IF($AB89="○",COUNTIF($AB$3:$AB89,"○"),"")</f>
        <v/>
      </c>
      <c r="X89" s="381" t="str">
        <f>IF($AC89="○",COUNTIF($AC$3:$AC89,"○"),"")</f>
        <v/>
      </c>
      <c r="Y89" s="444">
        <f t="shared" si="4"/>
        <v>0</v>
      </c>
      <c r="Z89" s="381">
        <f t="shared" si="4"/>
        <v>0</v>
      </c>
      <c r="AA89" s="381">
        <f t="shared" si="4"/>
        <v>0</v>
      </c>
      <c r="AB89" s="381">
        <f t="shared" si="4"/>
        <v>0</v>
      </c>
      <c r="AC89" s="450">
        <f t="shared" si="4"/>
        <v>0</v>
      </c>
      <c r="AD89" s="381" t="s">
        <v>205</v>
      </c>
    </row>
    <row r="90" spans="22:30">
      <c r="V90" s="381" t="str">
        <f>IF($AA90="○",COUNTIF($AA$3:$AA90,"○"),"")</f>
        <v/>
      </c>
      <c r="W90" s="381" t="str">
        <f>IF($AB90="○",COUNTIF($AB$3:$AB90,"○"),"")</f>
        <v/>
      </c>
      <c r="X90" s="381" t="str">
        <f>IF($AC90="○",COUNTIF($AC$3:$AC90,"○"),"")</f>
        <v/>
      </c>
      <c r="Y90" s="444">
        <f t="shared" si="4"/>
        <v>0</v>
      </c>
      <c r="Z90" s="381">
        <f t="shared" si="4"/>
        <v>0</v>
      </c>
      <c r="AA90" s="381">
        <f t="shared" si="4"/>
        <v>0</v>
      </c>
      <c r="AB90" s="381">
        <f t="shared" si="4"/>
        <v>0</v>
      </c>
      <c r="AC90" s="450">
        <f t="shared" si="4"/>
        <v>0</v>
      </c>
      <c r="AD90" s="381" t="s">
        <v>205</v>
      </c>
    </row>
    <row r="91" spans="22:30">
      <c r="V91" s="381" t="str">
        <f>IF($AA91="○",COUNTIF($AA$3:$AA91,"○"),"")</f>
        <v/>
      </c>
      <c r="W91" s="381" t="str">
        <f>IF($AB91="○",COUNTIF($AB$3:$AB91,"○"),"")</f>
        <v/>
      </c>
      <c r="X91" s="381" t="str">
        <f>IF($AC91="○",COUNTIF($AC$3:$AC91,"○"),"")</f>
        <v/>
      </c>
      <c r="Y91" s="444">
        <f t="shared" si="4"/>
        <v>0</v>
      </c>
      <c r="Z91" s="381">
        <f t="shared" si="4"/>
        <v>0</v>
      </c>
      <c r="AA91" s="381">
        <f t="shared" si="4"/>
        <v>0</v>
      </c>
      <c r="AB91" s="381">
        <f t="shared" si="4"/>
        <v>0</v>
      </c>
      <c r="AC91" s="450">
        <f t="shared" si="4"/>
        <v>0</v>
      </c>
      <c r="AD91" s="381" t="s">
        <v>205</v>
      </c>
    </row>
    <row r="92" spans="22:30">
      <c r="V92" s="381" t="str">
        <f>IF($AA92="○",COUNTIF($AA$3:$AA92,"○"),"")</f>
        <v/>
      </c>
      <c r="W92" s="381" t="str">
        <f>IF($AB92="○",COUNTIF($AB$3:$AB92,"○"),"")</f>
        <v/>
      </c>
      <c r="X92" s="381" t="str">
        <f>IF($AC92="○",COUNTIF($AC$3:$AC92,"○"),"")</f>
        <v/>
      </c>
      <c r="Y92" s="444">
        <f t="shared" si="4"/>
        <v>0</v>
      </c>
      <c r="Z92" s="381">
        <f t="shared" si="4"/>
        <v>0</v>
      </c>
      <c r="AA92" s="381">
        <f t="shared" si="4"/>
        <v>0</v>
      </c>
      <c r="AB92" s="381">
        <f t="shared" si="4"/>
        <v>0</v>
      </c>
      <c r="AC92" s="450">
        <f t="shared" si="4"/>
        <v>0</v>
      </c>
      <c r="AD92" s="381" t="s">
        <v>205</v>
      </c>
    </row>
    <row r="93" spans="22:30">
      <c r="V93" s="381" t="str">
        <f>IF($AA93="○",COUNTIF($AA$3:$AA93,"○"),"")</f>
        <v/>
      </c>
      <c r="W93" s="381" t="str">
        <f>IF($AB93="○",COUNTIF($AB$3:$AB93,"○"),"")</f>
        <v/>
      </c>
      <c r="X93" s="381" t="str">
        <f>IF($AC93="○",COUNTIF($AC$3:$AC93,"○"),"")</f>
        <v/>
      </c>
      <c r="Y93" s="444">
        <f t="shared" si="4"/>
        <v>0</v>
      </c>
      <c r="Z93" s="381">
        <f t="shared" si="4"/>
        <v>0</v>
      </c>
      <c r="AA93" s="381">
        <f t="shared" si="4"/>
        <v>0</v>
      </c>
      <c r="AB93" s="381">
        <f t="shared" si="4"/>
        <v>0</v>
      </c>
      <c r="AC93" s="450">
        <f t="shared" si="4"/>
        <v>0</v>
      </c>
      <c r="AD93" s="381" t="s">
        <v>205</v>
      </c>
    </row>
    <row r="94" spans="22:30">
      <c r="V94" s="381" t="str">
        <f>IF($AA94="○",COUNTIF($AA$3:$AA94,"○"),"")</f>
        <v/>
      </c>
      <c r="W94" s="381" t="str">
        <f>IF($AB94="○",COUNTIF($AB$3:$AB94,"○"),"")</f>
        <v/>
      </c>
      <c r="X94" s="381" t="str">
        <f>IF($AC94="○",COUNTIF($AC$3:$AC94,"○"),"")</f>
        <v/>
      </c>
      <c r="Y94" s="444">
        <f t="shared" si="4"/>
        <v>0</v>
      </c>
      <c r="Z94" s="381">
        <f t="shared" si="4"/>
        <v>0</v>
      </c>
      <c r="AA94" s="381">
        <f t="shared" si="4"/>
        <v>0</v>
      </c>
      <c r="AB94" s="381">
        <f t="shared" si="4"/>
        <v>0</v>
      </c>
      <c r="AC94" s="450">
        <f t="shared" si="4"/>
        <v>0</v>
      </c>
      <c r="AD94" s="381" t="s">
        <v>205</v>
      </c>
    </row>
    <row r="95" spans="22:30">
      <c r="V95" s="381" t="str">
        <f>IF($AA95="○",COUNTIF($AA$3:$AA95,"○"),"")</f>
        <v/>
      </c>
      <c r="W95" s="381" t="str">
        <f>IF($AB95="○",COUNTIF($AB$3:$AB95,"○"),"")</f>
        <v/>
      </c>
      <c r="X95" s="381" t="str">
        <f>IF($AC95="○",COUNTIF($AC$3:$AC95,"○"),"")</f>
        <v/>
      </c>
      <c r="Y95" s="444">
        <f t="shared" si="4"/>
        <v>0</v>
      </c>
      <c r="Z95" s="381">
        <f t="shared" si="4"/>
        <v>0</v>
      </c>
      <c r="AA95" s="381">
        <f t="shared" si="4"/>
        <v>0</v>
      </c>
      <c r="AB95" s="381">
        <f t="shared" si="4"/>
        <v>0</v>
      </c>
      <c r="AC95" s="450">
        <f t="shared" si="4"/>
        <v>0</v>
      </c>
      <c r="AD95" s="381" t="s">
        <v>205</v>
      </c>
    </row>
    <row r="96" spans="22:30">
      <c r="V96" s="381" t="str">
        <f>IF($AA96="○",COUNTIF($AA$3:$AA96,"○"),"")</f>
        <v/>
      </c>
      <c r="W96" s="381" t="str">
        <f>IF($AB96="○",COUNTIF($AB$3:$AB96,"○"),"")</f>
        <v/>
      </c>
      <c r="X96" s="381" t="str">
        <f>IF($AC96="○",COUNTIF($AC$3:$AC96,"○"),"")</f>
        <v/>
      </c>
      <c r="Y96" s="444">
        <f t="shared" si="4"/>
        <v>0</v>
      </c>
      <c r="Z96" s="381">
        <f t="shared" si="4"/>
        <v>0</v>
      </c>
      <c r="AA96" s="381">
        <f t="shared" si="4"/>
        <v>0</v>
      </c>
      <c r="AB96" s="381">
        <f t="shared" si="4"/>
        <v>0</v>
      </c>
      <c r="AC96" s="450">
        <f t="shared" si="4"/>
        <v>0</v>
      </c>
      <c r="AD96" s="381" t="s">
        <v>205</v>
      </c>
    </row>
    <row r="97" spans="22:30">
      <c r="V97" s="381" t="str">
        <f>IF($AA97="○",COUNTIF($AA$3:$AA97,"○"),"")</f>
        <v/>
      </c>
      <c r="W97" s="381" t="str">
        <f>IF($AB97="○",COUNTIF($AB$3:$AB97,"○"),"")</f>
        <v/>
      </c>
      <c r="X97" s="381" t="str">
        <f>IF($AC97="○",COUNTIF($AC$3:$AC97,"○"),"")</f>
        <v/>
      </c>
      <c r="Y97" s="444">
        <f t="shared" si="4"/>
        <v>0</v>
      </c>
      <c r="Z97" s="381">
        <f t="shared" si="4"/>
        <v>0</v>
      </c>
      <c r="AA97" s="381">
        <f t="shared" si="4"/>
        <v>0</v>
      </c>
      <c r="AB97" s="381">
        <f t="shared" si="4"/>
        <v>0</v>
      </c>
      <c r="AC97" s="450">
        <f t="shared" si="4"/>
        <v>0</v>
      </c>
      <c r="AD97" s="381" t="s">
        <v>205</v>
      </c>
    </row>
    <row r="98" spans="22:30">
      <c r="V98" s="381" t="str">
        <f>IF($AA98="○",COUNTIF($AA$3:$AA98,"○"),"")</f>
        <v/>
      </c>
      <c r="W98" s="381" t="str">
        <f>IF($AB98="○",COUNTIF($AB$3:$AB98,"○"),"")</f>
        <v/>
      </c>
      <c r="X98" s="381" t="str">
        <f>IF($AC98="○",COUNTIF($AC$3:$AC98,"○"),"")</f>
        <v/>
      </c>
      <c r="Y98" s="444">
        <f t="shared" si="4"/>
        <v>0</v>
      </c>
      <c r="Z98" s="381">
        <f t="shared" si="4"/>
        <v>0</v>
      </c>
      <c r="AA98" s="381">
        <f t="shared" si="4"/>
        <v>0</v>
      </c>
      <c r="AB98" s="381">
        <f t="shared" si="4"/>
        <v>0</v>
      </c>
      <c r="AC98" s="450">
        <f t="shared" si="4"/>
        <v>0</v>
      </c>
      <c r="AD98" s="381" t="s">
        <v>205</v>
      </c>
    </row>
    <row r="99" spans="22:30">
      <c r="V99" s="381" t="str">
        <f>IF($AA99="○",COUNTIF($AA$3:$AA99,"○"),"")</f>
        <v/>
      </c>
      <c r="W99" s="381" t="str">
        <f>IF($AB99="○",COUNTIF($AB$3:$AB99,"○"),"")</f>
        <v/>
      </c>
      <c r="X99" s="381" t="str">
        <f>IF($AC99="○",COUNTIF($AC$3:$AC99,"○"),"")</f>
        <v/>
      </c>
      <c r="Y99" s="444">
        <f t="shared" si="4"/>
        <v>0</v>
      </c>
      <c r="Z99" s="381">
        <f t="shared" si="4"/>
        <v>0</v>
      </c>
      <c r="AA99" s="381">
        <f t="shared" si="4"/>
        <v>0</v>
      </c>
      <c r="AB99" s="381">
        <f t="shared" si="4"/>
        <v>0</v>
      </c>
      <c r="AC99" s="450">
        <f t="shared" si="4"/>
        <v>0</v>
      </c>
      <c r="AD99" s="381" t="s">
        <v>205</v>
      </c>
    </row>
    <row r="100" spans="22:30">
      <c r="V100" s="381" t="str">
        <f>IF($AA100="○",COUNTIF($AA$3:$AA100,"○"),"")</f>
        <v/>
      </c>
      <c r="W100" s="381" t="str">
        <f>IF($AB100="○",COUNTIF($AB$3:$AB100,"○"),"")</f>
        <v/>
      </c>
      <c r="X100" s="381" t="str">
        <f>IF($AC100="○",COUNTIF($AC$3:$AC100,"○"),"")</f>
        <v/>
      </c>
      <c r="Y100" s="444">
        <f t="shared" si="4"/>
        <v>0</v>
      </c>
      <c r="Z100" s="381">
        <f t="shared" si="4"/>
        <v>0</v>
      </c>
      <c r="AA100" s="381">
        <f t="shared" si="4"/>
        <v>0</v>
      </c>
      <c r="AB100" s="381">
        <f t="shared" si="4"/>
        <v>0</v>
      </c>
      <c r="AC100" s="450">
        <f t="shared" si="4"/>
        <v>0</v>
      </c>
      <c r="AD100" s="381" t="s">
        <v>205</v>
      </c>
    </row>
    <row r="101" spans="22:30">
      <c r="V101" s="381" t="str">
        <f>IF($AA101="○",COUNTIF($AA$3:$AA101,"○"),"")</f>
        <v/>
      </c>
      <c r="W101" s="381" t="str">
        <f>IF($AB101="○",COUNTIF($AB$3:$AB101,"○"),"")</f>
        <v/>
      </c>
      <c r="X101" s="381" t="str">
        <f>IF($AC101="○",COUNTIF($AC$3:$AC101,"○"),"")</f>
        <v/>
      </c>
      <c r="Y101" s="444">
        <f t="shared" si="4"/>
        <v>0</v>
      </c>
      <c r="Z101" s="381">
        <f t="shared" si="4"/>
        <v>0</v>
      </c>
      <c r="AA101" s="381">
        <f t="shared" si="4"/>
        <v>0</v>
      </c>
      <c r="AB101" s="381">
        <f t="shared" si="4"/>
        <v>0</v>
      </c>
      <c r="AC101" s="450">
        <f t="shared" si="4"/>
        <v>0</v>
      </c>
      <c r="AD101" s="381" t="s">
        <v>205</v>
      </c>
    </row>
    <row r="102" spans="22:30" ht="15">
      <c r="V102" s="381" t="str">
        <f>IF($AA102="○",COUNTIF($AA$3:$AA102,"○"),"")</f>
        <v/>
      </c>
      <c r="W102" s="381" t="str">
        <f>IF($AB102="○",COUNTIF($AB$3:$AB102,"○"),"")</f>
        <v/>
      </c>
      <c r="X102" s="381" t="str">
        <f>IF($AC102="○",COUNTIF($AC$3:$AC102,"○"),"")</f>
        <v/>
      </c>
      <c r="Y102" s="445">
        <f t="shared" si="4"/>
        <v>0</v>
      </c>
      <c r="Z102" s="448">
        <f t="shared" si="4"/>
        <v>0</v>
      </c>
      <c r="AA102" s="448">
        <f t="shared" si="4"/>
        <v>0</v>
      </c>
      <c r="AB102" s="448">
        <f t="shared" si="4"/>
        <v>0</v>
      </c>
      <c r="AC102" s="451">
        <f t="shared" si="4"/>
        <v>0</v>
      </c>
      <c r="AD102" s="381" t="s">
        <v>205</v>
      </c>
    </row>
    <row r="103" spans="22:30">
      <c r="V103" s="381" t="str">
        <f>IF($AA103="○",COUNTIF($AA$3:$AA103,"○"),"")</f>
        <v/>
      </c>
      <c r="W103" s="381" t="str">
        <f>IF($AB103="○",COUNTIF($AB$3:$AB103,"○"),"")</f>
        <v/>
      </c>
      <c r="X103" s="381" t="str">
        <f>IF($AC103="○",COUNTIF($AC$3:$AC103,"○"),"")</f>
        <v/>
      </c>
      <c r="Y103" s="443" t="str">
        <f t="shared" ref="Y103:AC122" si="5">M29</f>
        <v>事務消耗品</v>
      </c>
      <c r="Z103" s="447">
        <f t="shared" si="5"/>
        <v>5000</v>
      </c>
      <c r="AA103" s="447">
        <f t="shared" si="5"/>
        <v>0</v>
      </c>
      <c r="AB103" s="447">
        <f t="shared" si="5"/>
        <v>0</v>
      </c>
      <c r="AC103" s="449">
        <f t="shared" si="5"/>
        <v>0</v>
      </c>
      <c r="AD103" s="381" t="s">
        <v>206</v>
      </c>
    </row>
    <row r="104" spans="22:30">
      <c r="V104" s="381" t="str">
        <f>IF($AA104="○",COUNTIF($AA$3:$AA104,"○"),"")</f>
        <v/>
      </c>
      <c r="W104" s="381" t="str">
        <f>IF($AB104="○",COUNTIF($AB$3:$AB104,"○"),"")</f>
        <v/>
      </c>
      <c r="X104" s="381" t="str">
        <f>IF($AC104="○",COUNTIF($AC$3:$AC104,"○"),"")</f>
        <v/>
      </c>
      <c r="Y104" s="444">
        <f t="shared" si="5"/>
        <v>0</v>
      </c>
      <c r="Z104" s="381">
        <f t="shared" si="5"/>
        <v>0</v>
      </c>
      <c r="AA104" s="381">
        <f t="shared" si="5"/>
        <v>0</v>
      </c>
      <c r="AB104" s="381">
        <f t="shared" si="5"/>
        <v>0</v>
      </c>
      <c r="AC104" s="450">
        <f t="shared" si="5"/>
        <v>0</v>
      </c>
      <c r="AD104" s="381" t="s">
        <v>206</v>
      </c>
    </row>
    <row r="105" spans="22:30">
      <c r="V105" s="381" t="str">
        <f>IF($AA105="○",COUNTIF($AA$3:$AA105,"○"),"")</f>
        <v/>
      </c>
      <c r="W105" s="381" t="str">
        <f>IF($AB105="○",COUNTIF($AB$3:$AB105,"○"),"")</f>
        <v/>
      </c>
      <c r="X105" s="381" t="str">
        <f>IF($AC105="○",COUNTIF($AC$3:$AC105,"○"),"")</f>
        <v/>
      </c>
      <c r="Y105" s="444">
        <f t="shared" si="5"/>
        <v>0</v>
      </c>
      <c r="Z105" s="381">
        <f t="shared" si="5"/>
        <v>0</v>
      </c>
      <c r="AA105" s="381">
        <f t="shared" si="5"/>
        <v>0</v>
      </c>
      <c r="AB105" s="381">
        <f t="shared" si="5"/>
        <v>0</v>
      </c>
      <c r="AC105" s="450">
        <f t="shared" si="5"/>
        <v>0</v>
      </c>
      <c r="AD105" s="381" t="s">
        <v>206</v>
      </c>
    </row>
    <row r="106" spans="22:30">
      <c r="V106" s="381" t="str">
        <f>IF($AA106="○",COUNTIF($AA$3:$AA106,"○"),"")</f>
        <v/>
      </c>
      <c r="W106" s="381" t="str">
        <f>IF($AB106="○",COUNTIF($AB$3:$AB106,"○"),"")</f>
        <v/>
      </c>
      <c r="X106" s="381" t="str">
        <f>IF($AC106="○",COUNTIF($AC$3:$AC106,"○"),"")</f>
        <v/>
      </c>
      <c r="Y106" s="444">
        <f t="shared" si="5"/>
        <v>0</v>
      </c>
      <c r="Z106" s="381">
        <f t="shared" si="5"/>
        <v>0</v>
      </c>
      <c r="AA106" s="381">
        <f t="shared" si="5"/>
        <v>0</v>
      </c>
      <c r="AB106" s="381">
        <f t="shared" si="5"/>
        <v>0</v>
      </c>
      <c r="AC106" s="450">
        <f t="shared" si="5"/>
        <v>0</v>
      </c>
      <c r="AD106" s="381" t="s">
        <v>206</v>
      </c>
    </row>
    <row r="107" spans="22:30">
      <c r="V107" s="381" t="str">
        <f>IF($AA107="○",COUNTIF($AA$3:$AA107,"○"),"")</f>
        <v/>
      </c>
      <c r="W107" s="381" t="str">
        <f>IF($AB107="○",COUNTIF($AB$3:$AB107,"○"),"")</f>
        <v/>
      </c>
      <c r="X107" s="381" t="str">
        <f>IF($AC107="○",COUNTIF($AC$3:$AC107,"○"),"")</f>
        <v/>
      </c>
      <c r="Y107" s="444">
        <f t="shared" si="5"/>
        <v>0</v>
      </c>
      <c r="Z107" s="381">
        <f t="shared" si="5"/>
        <v>0</v>
      </c>
      <c r="AA107" s="381">
        <f t="shared" si="5"/>
        <v>0</v>
      </c>
      <c r="AB107" s="381">
        <f t="shared" si="5"/>
        <v>0</v>
      </c>
      <c r="AC107" s="450">
        <f t="shared" si="5"/>
        <v>0</v>
      </c>
      <c r="AD107" s="381" t="s">
        <v>206</v>
      </c>
    </row>
    <row r="108" spans="22:30">
      <c r="V108" s="381" t="str">
        <f>IF($AA108="○",COUNTIF($AA$3:$AA108,"○"),"")</f>
        <v/>
      </c>
      <c r="W108" s="381" t="str">
        <f>IF($AB108="○",COUNTIF($AB$3:$AB108,"○"),"")</f>
        <v/>
      </c>
      <c r="X108" s="381" t="str">
        <f>IF($AC108="○",COUNTIF($AC$3:$AC108,"○"),"")</f>
        <v/>
      </c>
      <c r="Y108" s="444">
        <f t="shared" si="5"/>
        <v>0</v>
      </c>
      <c r="Z108" s="381">
        <f t="shared" si="5"/>
        <v>0</v>
      </c>
      <c r="AA108" s="381">
        <f t="shared" si="5"/>
        <v>0</v>
      </c>
      <c r="AB108" s="381">
        <f t="shared" si="5"/>
        <v>0</v>
      </c>
      <c r="AC108" s="450">
        <f t="shared" si="5"/>
        <v>0</v>
      </c>
      <c r="AD108" s="381" t="s">
        <v>206</v>
      </c>
    </row>
    <row r="109" spans="22:30">
      <c r="V109" s="381" t="str">
        <f>IF($AA109="○",COUNTIF($AA$3:$AA109,"○"),"")</f>
        <v/>
      </c>
      <c r="W109" s="381" t="str">
        <f>IF($AB109="○",COUNTIF($AB$3:$AB109,"○"),"")</f>
        <v/>
      </c>
      <c r="X109" s="381" t="str">
        <f>IF($AC109="○",COUNTIF($AC$3:$AC109,"○"),"")</f>
        <v/>
      </c>
      <c r="Y109" s="444">
        <f t="shared" si="5"/>
        <v>0</v>
      </c>
      <c r="Z109" s="381">
        <f t="shared" si="5"/>
        <v>0</v>
      </c>
      <c r="AA109" s="381">
        <f t="shared" si="5"/>
        <v>0</v>
      </c>
      <c r="AB109" s="381">
        <f t="shared" si="5"/>
        <v>0</v>
      </c>
      <c r="AC109" s="450">
        <f t="shared" si="5"/>
        <v>0</v>
      </c>
      <c r="AD109" s="381" t="s">
        <v>206</v>
      </c>
    </row>
    <row r="110" spans="22:30">
      <c r="V110" s="381" t="str">
        <f>IF($AA110="○",COUNTIF($AA$3:$AA110,"○"),"")</f>
        <v/>
      </c>
      <c r="W110" s="381" t="str">
        <f>IF($AB110="○",COUNTIF($AB$3:$AB110,"○"),"")</f>
        <v/>
      </c>
      <c r="X110" s="381" t="str">
        <f>IF($AC110="○",COUNTIF($AC$3:$AC110,"○"),"")</f>
        <v/>
      </c>
      <c r="Y110" s="444">
        <f t="shared" si="5"/>
        <v>0</v>
      </c>
      <c r="Z110" s="381">
        <f t="shared" si="5"/>
        <v>0</v>
      </c>
      <c r="AA110" s="381">
        <f t="shared" si="5"/>
        <v>0</v>
      </c>
      <c r="AB110" s="381">
        <f t="shared" si="5"/>
        <v>0</v>
      </c>
      <c r="AC110" s="450">
        <f t="shared" si="5"/>
        <v>0</v>
      </c>
      <c r="AD110" s="381" t="s">
        <v>206</v>
      </c>
    </row>
    <row r="111" spans="22:30">
      <c r="V111" s="381" t="str">
        <f>IF($AA111="○",COUNTIF($AA$3:$AA111,"○"),"")</f>
        <v/>
      </c>
      <c r="W111" s="381" t="str">
        <f>IF($AB111="○",COUNTIF($AB$3:$AB111,"○"),"")</f>
        <v/>
      </c>
      <c r="X111" s="381" t="str">
        <f>IF($AC111="○",COUNTIF($AC$3:$AC111,"○"),"")</f>
        <v/>
      </c>
      <c r="Y111" s="444">
        <f t="shared" si="5"/>
        <v>0</v>
      </c>
      <c r="Z111" s="381">
        <f t="shared" si="5"/>
        <v>0</v>
      </c>
      <c r="AA111" s="381">
        <f t="shared" si="5"/>
        <v>0</v>
      </c>
      <c r="AB111" s="381">
        <f t="shared" si="5"/>
        <v>0</v>
      </c>
      <c r="AC111" s="450">
        <f t="shared" si="5"/>
        <v>0</v>
      </c>
      <c r="AD111" s="381" t="s">
        <v>206</v>
      </c>
    </row>
    <row r="112" spans="22:30">
      <c r="V112" s="381" t="str">
        <f>IF($AA112="○",COUNTIF($AA$3:$AA112,"○"),"")</f>
        <v/>
      </c>
      <c r="W112" s="381" t="str">
        <f>IF($AB112="○",COUNTIF($AB$3:$AB112,"○"),"")</f>
        <v/>
      </c>
      <c r="X112" s="381" t="str">
        <f>IF($AC112="○",COUNTIF($AC$3:$AC112,"○"),"")</f>
        <v/>
      </c>
      <c r="Y112" s="444">
        <f t="shared" si="5"/>
        <v>0</v>
      </c>
      <c r="Z112" s="381">
        <f t="shared" si="5"/>
        <v>0</v>
      </c>
      <c r="AA112" s="381">
        <f t="shared" si="5"/>
        <v>0</v>
      </c>
      <c r="AB112" s="381">
        <f t="shared" si="5"/>
        <v>0</v>
      </c>
      <c r="AC112" s="450">
        <f t="shared" si="5"/>
        <v>0</v>
      </c>
      <c r="AD112" s="381" t="s">
        <v>206</v>
      </c>
    </row>
    <row r="113" spans="22:30">
      <c r="V113" s="381" t="str">
        <f>IF($AA113="○",COUNTIF($AA$3:$AA113,"○"),"")</f>
        <v/>
      </c>
      <c r="W113" s="381" t="str">
        <f>IF($AB113="○",COUNTIF($AB$3:$AB113,"○"),"")</f>
        <v/>
      </c>
      <c r="X113" s="381" t="str">
        <f>IF($AC113="○",COUNTIF($AC$3:$AC113,"○"),"")</f>
        <v/>
      </c>
      <c r="Y113" s="444">
        <f t="shared" si="5"/>
        <v>0</v>
      </c>
      <c r="Z113" s="381">
        <f t="shared" si="5"/>
        <v>0</v>
      </c>
      <c r="AA113" s="381">
        <f t="shared" si="5"/>
        <v>0</v>
      </c>
      <c r="AB113" s="381">
        <f t="shared" si="5"/>
        <v>0</v>
      </c>
      <c r="AC113" s="450">
        <f t="shared" si="5"/>
        <v>0</v>
      </c>
      <c r="AD113" s="381" t="s">
        <v>206</v>
      </c>
    </row>
    <row r="114" spans="22:30">
      <c r="V114" s="381" t="str">
        <f>IF($AA114="○",COUNTIF($AA$3:$AA114,"○"),"")</f>
        <v/>
      </c>
      <c r="W114" s="381" t="str">
        <f>IF($AB114="○",COUNTIF($AB$3:$AB114,"○"),"")</f>
        <v/>
      </c>
      <c r="X114" s="381" t="str">
        <f>IF($AC114="○",COUNTIF($AC$3:$AC114,"○"),"")</f>
        <v/>
      </c>
      <c r="Y114" s="444">
        <f t="shared" si="5"/>
        <v>0</v>
      </c>
      <c r="Z114" s="381">
        <f t="shared" si="5"/>
        <v>0</v>
      </c>
      <c r="AA114" s="381">
        <f t="shared" si="5"/>
        <v>0</v>
      </c>
      <c r="AB114" s="381">
        <f t="shared" si="5"/>
        <v>0</v>
      </c>
      <c r="AC114" s="450">
        <f t="shared" si="5"/>
        <v>0</v>
      </c>
      <c r="AD114" s="381" t="s">
        <v>206</v>
      </c>
    </row>
    <row r="115" spans="22:30">
      <c r="V115" s="381" t="str">
        <f>IF($AA115="○",COUNTIF($AA$3:$AA115,"○"),"")</f>
        <v/>
      </c>
      <c r="W115" s="381" t="str">
        <f>IF($AB115="○",COUNTIF($AB$3:$AB115,"○"),"")</f>
        <v/>
      </c>
      <c r="X115" s="381" t="str">
        <f>IF($AC115="○",COUNTIF($AC$3:$AC115,"○"),"")</f>
        <v/>
      </c>
      <c r="Y115" s="444">
        <f t="shared" si="5"/>
        <v>0</v>
      </c>
      <c r="Z115" s="381">
        <f t="shared" si="5"/>
        <v>0</v>
      </c>
      <c r="AA115" s="381">
        <f t="shared" si="5"/>
        <v>0</v>
      </c>
      <c r="AB115" s="381">
        <f t="shared" si="5"/>
        <v>0</v>
      </c>
      <c r="AC115" s="450">
        <f t="shared" si="5"/>
        <v>0</v>
      </c>
      <c r="AD115" s="381" t="s">
        <v>206</v>
      </c>
    </row>
    <row r="116" spans="22:30">
      <c r="V116" s="381" t="str">
        <f>IF($AA116="○",COUNTIF($AA$3:$AA116,"○"),"")</f>
        <v/>
      </c>
      <c r="W116" s="381" t="str">
        <f>IF($AB116="○",COUNTIF($AB$3:$AB116,"○"),"")</f>
        <v/>
      </c>
      <c r="X116" s="381" t="str">
        <f>IF($AC116="○",COUNTIF($AC$3:$AC116,"○"),"")</f>
        <v/>
      </c>
      <c r="Y116" s="444">
        <f t="shared" si="5"/>
        <v>0</v>
      </c>
      <c r="Z116" s="381">
        <f t="shared" si="5"/>
        <v>0</v>
      </c>
      <c r="AA116" s="381">
        <f t="shared" si="5"/>
        <v>0</v>
      </c>
      <c r="AB116" s="381">
        <f t="shared" si="5"/>
        <v>0</v>
      </c>
      <c r="AC116" s="450">
        <f t="shared" si="5"/>
        <v>0</v>
      </c>
      <c r="AD116" s="381" t="s">
        <v>206</v>
      </c>
    </row>
    <row r="117" spans="22:30">
      <c r="V117" s="381" t="str">
        <f>IF($AA117="○",COUNTIF($AA$3:$AA117,"○"),"")</f>
        <v/>
      </c>
      <c r="W117" s="381" t="str">
        <f>IF($AB117="○",COUNTIF($AB$3:$AB117,"○"),"")</f>
        <v/>
      </c>
      <c r="X117" s="381" t="str">
        <f>IF($AC117="○",COUNTIF($AC$3:$AC117,"○"),"")</f>
        <v/>
      </c>
      <c r="Y117" s="444">
        <f t="shared" si="5"/>
        <v>0</v>
      </c>
      <c r="Z117" s="381">
        <f t="shared" si="5"/>
        <v>0</v>
      </c>
      <c r="AA117" s="381">
        <f t="shared" si="5"/>
        <v>0</v>
      </c>
      <c r="AB117" s="381">
        <f t="shared" si="5"/>
        <v>0</v>
      </c>
      <c r="AC117" s="450">
        <f t="shared" si="5"/>
        <v>0</v>
      </c>
      <c r="AD117" s="381" t="s">
        <v>206</v>
      </c>
    </row>
    <row r="118" spans="22:30">
      <c r="V118" s="381" t="str">
        <f>IF($AA118="○",COUNTIF($AA$3:$AA118,"○"),"")</f>
        <v/>
      </c>
      <c r="W118" s="381" t="str">
        <f>IF($AB118="○",COUNTIF($AB$3:$AB118,"○"),"")</f>
        <v/>
      </c>
      <c r="X118" s="381" t="str">
        <f>IF($AC118="○",COUNTIF($AC$3:$AC118,"○"),"")</f>
        <v/>
      </c>
      <c r="Y118" s="444">
        <f t="shared" si="5"/>
        <v>0</v>
      </c>
      <c r="Z118" s="381">
        <f t="shared" si="5"/>
        <v>0</v>
      </c>
      <c r="AA118" s="381">
        <f t="shared" si="5"/>
        <v>0</v>
      </c>
      <c r="AB118" s="381">
        <f t="shared" si="5"/>
        <v>0</v>
      </c>
      <c r="AC118" s="450">
        <f t="shared" si="5"/>
        <v>0</v>
      </c>
      <c r="AD118" s="381" t="s">
        <v>206</v>
      </c>
    </row>
    <row r="119" spans="22:30">
      <c r="V119" s="381" t="str">
        <f>IF($AA119="○",COUNTIF($AA$3:$AA119,"○"),"")</f>
        <v/>
      </c>
      <c r="W119" s="381" t="str">
        <f>IF($AB119="○",COUNTIF($AB$3:$AB119,"○"),"")</f>
        <v/>
      </c>
      <c r="X119" s="381" t="str">
        <f>IF($AC119="○",COUNTIF($AC$3:$AC119,"○"),"")</f>
        <v/>
      </c>
      <c r="Y119" s="444">
        <f t="shared" si="5"/>
        <v>0</v>
      </c>
      <c r="Z119" s="381">
        <f t="shared" si="5"/>
        <v>0</v>
      </c>
      <c r="AA119" s="381">
        <f t="shared" si="5"/>
        <v>0</v>
      </c>
      <c r="AB119" s="381">
        <f t="shared" si="5"/>
        <v>0</v>
      </c>
      <c r="AC119" s="450">
        <f t="shared" si="5"/>
        <v>0</v>
      </c>
      <c r="AD119" s="381" t="s">
        <v>206</v>
      </c>
    </row>
    <row r="120" spans="22:30">
      <c r="V120" s="381" t="str">
        <f>IF($AA120="○",COUNTIF($AA$3:$AA120,"○"),"")</f>
        <v/>
      </c>
      <c r="W120" s="381" t="str">
        <f>IF($AB120="○",COUNTIF($AB$3:$AB120,"○"),"")</f>
        <v/>
      </c>
      <c r="X120" s="381" t="str">
        <f>IF($AC120="○",COUNTIF($AC$3:$AC120,"○"),"")</f>
        <v/>
      </c>
      <c r="Y120" s="444">
        <f t="shared" si="5"/>
        <v>0</v>
      </c>
      <c r="Z120" s="381">
        <f t="shared" si="5"/>
        <v>0</v>
      </c>
      <c r="AA120" s="381">
        <f t="shared" si="5"/>
        <v>0</v>
      </c>
      <c r="AB120" s="381">
        <f t="shared" si="5"/>
        <v>0</v>
      </c>
      <c r="AC120" s="450">
        <f t="shared" si="5"/>
        <v>0</v>
      </c>
      <c r="AD120" s="381" t="s">
        <v>206</v>
      </c>
    </row>
    <row r="121" spans="22:30">
      <c r="V121" s="381" t="str">
        <f>IF($AA121="○",COUNTIF($AA$3:$AA121,"○"),"")</f>
        <v/>
      </c>
      <c r="W121" s="381" t="str">
        <f>IF($AB121="○",COUNTIF($AB$3:$AB121,"○"),"")</f>
        <v/>
      </c>
      <c r="X121" s="381" t="str">
        <f>IF($AC121="○",COUNTIF($AC$3:$AC121,"○"),"")</f>
        <v/>
      </c>
      <c r="Y121" s="444">
        <f t="shared" si="5"/>
        <v>0</v>
      </c>
      <c r="Z121" s="381">
        <f t="shared" si="5"/>
        <v>0</v>
      </c>
      <c r="AA121" s="381">
        <f t="shared" si="5"/>
        <v>0</v>
      </c>
      <c r="AB121" s="381">
        <f t="shared" si="5"/>
        <v>0</v>
      </c>
      <c r="AC121" s="450">
        <f t="shared" si="5"/>
        <v>0</v>
      </c>
      <c r="AD121" s="381" t="s">
        <v>206</v>
      </c>
    </row>
    <row r="122" spans="22:30" ht="15">
      <c r="V122" s="381" t="str">
        <f>IF($AA122="○",COUNTIF($AA$3:$AA122,"○"),"")</f>
        <v/>
      </c>
      <c r="W122" s="381" t="str">
        <f>IF($AB122="○",COUNTIF($AB$3:$AB122,"○"),"")</f>
        <v/>
      </c>
      <c r="X122" s="381" t="str">
        <f>IF($AC122="○",COUNTIF($AC$3:$AC122,"○"),"")</f>
        <v/>
      </c>
      <c r="Y122" s="445">
        <f t="shared" si="5"/>
        <v>0</v>
      </c>
      <c r="Z122" s="448">
        <f t="shared" si="5"/>
        <v>0</v>
      </c>
      <c r="AA122" s="448">
        <f t="shared" si="5"/>
        <v>0</v>
      </c>
      <c r="AB122" s="448">
        <f t="shared" si="5"/>
        <v>0</v>
      </c>
      <c r="AC122" s="451">
        <f t="shared" si="5"/>
        <v>0</v>
      </c>
      <c r="AD122" s="381" t="s">
        <v>206</v>
      </c>
    </row>
  </sheetData>
  <mergeCells count="4">
    <mergeCell ref="E52:F52"/>
    <mergeCell ref="I52:J52"/>
    <mergeCell ref="K52:L52"/>
    <mergeCell ref="O52:P52"/>
  </mergeCells>
  <phoneticPr fontId="9"/>
  <dataValidations count="1">
    <dataValidation type="list" allowBlank="1" showDropDown="0" showInputMessage="1" showErrorMessage="1" sqref="O29:Q48 I4:K23 C4:C23 C29:E48 I29:K48 O4:P23">
      <formula1>$T$4:$T$5</formula1>
    </dataValidation>
  </dataValidations>
  <pageMargins left="0.98425196850393704" right="0.59055118110236227" top="0.78740157480314965" bottom="0.39370078740157483" header="0.51181102362204722" footer="0.51181102362204722"/>
  <pageSetup paperSize="9" scale="44" fitToWidth="1" fitToHeight="0" orientation="landscape" usePrinterDefaults="1" r:id="rId1"/>
  <headerFooter alignWithMargins="0">
    <oddHeader>&amp;L&amp;20資料２&amp;C&amp;20共同取組活動項目別支出内訳</oddHeader>
  </headerFooter>
  <colBreaks count="1" manualBreakCount="1">
    <brk id="1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2:BT37"/>
  <sheetViews>
    <sheetView showZeros="0" view="pageBreakPreview" zoomScale="50" zoomScaleNormal="75" zoomScaleSheetLayoutView="50" workbookViewId="0">
      <selection activeCell="J2" sqref="J2"/>
    </sheetView>
  </sheetViews>
  <sheetFormatPr defaultRowHeight="14.25"/>
  <cols>
    <col min="1" max="1" width="5.125" style="375" customWidth="1"/>
    <col min="2" max="2" width="18.375" style="375" customWidth="1"/>
    <col min="3" max="3" width="15.125" style="375" customWidth="1"/>
    <col min="4" max="4" width="9.125" style="375" customWidth="1"/>
    <col min="5" max="5" width="17.5" style="375" customWidth="1"/>
    <col min="6" max="6" width="9.125" style="375" customWidth="1"/>
    <col min="7" max="7" width="17.5" style="375" customWidth="1"/>
    <col min="8" max="8" width="9.125" style="375" customWidth="1"/>
    <col min="9" max="9" width="17.5" style="375" customWidth="1"/>
    <col min="10" max="10" width="9.125" style="375" customWidth="1"/>
    <col min="11" max="11" width="17.5" style="375" customWidth="1"/>
    <col min="12" max="12" width="9.125" style="375" customWidth="1"/>
    <col min="13" max="13" width="17.5" style="375" customWidth="1"/>
    <col min="14" max="14" width="9.125" style="375" customWidth="1"/>
    <col min="15" max="15" width="17.5" style="375" customWidth="1"/>
    <col min="16" max="16" width="9.125" style="375" customWidth="1"/>
    <col min="17" max="17" width="17.5" style="375" customWidth="1"/>
    <col min="18" max="18" width="9.125" style="375" customWidth="1"/>
    <col min="19" max="19" width="17.5" style="375" customWidth="1"/>
    <col min="20" max="20" width="9.125" style="375" customWidth="1"/>
    <col min="21" max="21" width="17.5" style="375" customWidth="1"/>
    <col min="22" max="22" width="9.125" style="375" customWidth="1"/>
    <col min="23" max="23" width="17.5" style="375" customWidth="1"/>
    <col min="24" max="24" width="9.125" style="375" customWidth="1"/>
    <col min="25" max="25" width="17.5" style="375" customWidth="1"/>
    <col min="26" max="26" width="9.125" style="375" customWidth="1"/>
    <col min="27" max="27" width="17.5" style="375" customWidth="1"/>
    <col min="28" max="28" width="9.125" style="375" customWidth="1"/>
    <col min="29" max="29" width="17.5" style="375" customWidth="1"/>
    <col min="30" max="30" width="9.125" style="375" customWidth="1"/>
    <col min="31" max="31" width="17.5" style="375" customWidth="1"/>
    <col min="32" max="32" width="9.125" style="375" customWidth="1"/>
    <col min="33" max="33" width="17.5" style="375" customWidth="1"/>
    <col min="34" max="34" width="9.125" style="375" customWidth="1"/>
    <col min="35" max="35" width="17.5" style="375" customWidth="1"/>
    <col min="36" max="36" width="9.125" style="375" customWidth="1"/>
    <col min="37" max="37" width="17.5" style="375" customWidth="1"/>
    <col min="38" max="38" width="9.125" style="375" customWidth="1"/>
    <col min="39" max="39" width="17.5" style="375" customWidth="1"/>
    <col min="40" max="40" width="9.125" style="375" customWidth="1"/>
    <col min="41" max="41" width="17.5" style="375" customWidth="1"/>
    <col min="42" max="42" width="9.125" style="375" customWidth="1"/>
    <col min="43" max="43" width="17.5" style="375" customWidth="1"/>
    <col min="44" max="44" width="9.125" style="375" customWidth="1"/>
    <col min="45" max="45" width="17.5" style="375" customWidth="1"/>
    <col min="46" max="46" width="9.125" style="375" customWidth="1"/>
    <col min="47" max="47" width="17.5" style="375" customWidth="1"/>
    <col min="48" max="48" width="9.125" style="375" customWidth="1"/>
    <col min="49" max="49" width="17.5" style="375" customWidth="1"/>
    <col min="50" max="50" width="9.125" style="375" customWidth="1"/>
    <col min="51" max="51" width="17.5" style="375" customWidth="1"/>
    <col min="52" max="52" width="9.125" style="375" customWidth="1"/>
    <col min="53" max="53" width="17.5" style="375" customWidth="1"/>
    <col min="54" max="54" width="9.125" style="375" customWidth="1"/>
    <col min="55" max="55" width="17.5" style="375" customWidth="1"/>
    <col min="56" max="56" width="9.125" style="375" customWidth="1"/>
    <col min="57" max="57" width="17.5" style="375" customWidth="1"/>
    <col min="58" max="58" width="9.125" style="375" customWidth="1"/>
    <col min="59" max="59" width="17.5" style="375" customWidth="1"/>
    <col min="60" max="60" width="9.125" style="375" customWidth="1"/>
    <col min="61" max="61" width="17.5" style="375" customWidth="1"/>
    <col min="62" max="62" width="9.125" style="375" customWidth="1"/>
    <col min="63" max="63" width="17.5" style="375" customWidth="1"/>
    <col min="64" max="71" width="9" style="375" customWidth="1"/>
    <col min="72" max="72" width="9" style="375" hidden="1" customWidth="1"/>
    <col min="73" max="16384" width="9" style="375" customWidth="1"/>
  </cols>
  <sheetData>
    <row r="1" spans="1:72" ht="33.75" customHeight="1"/>
    <row r="2" spans="1:72" ht="36" customHeight="1">
      <c r="A2" s="452" t="s">
        <v>207</v>
      </c>
    </row>
    <row r="3" spans="1:72" ht="29.25" customHeight="1">
      <c r="A3" s="453" t="s">
        <v>39</v>
      </c>
      <c r="B3" s="459" t="s">
        <v>84</v>
      </c>
      <c r="C3" s="465" t="s">
        <v>137</v>
      </c>
      <c r="D3" s="472" t="s">
        <v>134</v>
      </c>
      <c r="E3" s="479" t="str">
        <f>VLOOKUP(1,'資料2.内訳'!$V$3:$AD$122,9,FALSE)</f>
        <v>①</v>
      </c>
      <c r="F3" s="472" t="s">
        <v>134</v>
      </c>
      <c r="G3" s="479" t="str">
        <f>VLOOKUP(2,'資料2.内訳'!$V$3:$AD$122,9,FALSE)</f>
        <v>②</v>
      </c>
      <c r="H3" s="472" t="s">
        <v>134</v>
      </c>
      <c r="I3" s="479" t="str">
        <f>VLOOKUP(3,'資料2.内訳'!$V$3:$AD$122,9,FALSE)</f>
        <v>③</v>
      </c>
      <c r="J3" s="472" t="s">
        <v>134</v>
      </c>
      <c r="K3" s="479" t="str">
        <f>VLOOKUP(4,'資料2.内訳'!$V$3:$AD$122,9,FALSE)</f>
        <v>③</v>
      </c>
      <c r="L3" s="472" t="s">
        <v>134</v>
      </c>
      <c r="M3" s="479" t="str">
        <f>VLOOKUP(5,'資料2.内訳'!$V$3:$AD$122,9,FALSE)</f>
        <v>⑤</v>
      </c>
      <c r="N3" s="472" t="s">
        <v>134</v>
      </c>
      <c r="O3" s="479" t="e">
        <f>VLOOKUP(6,'資料2.内訳'!$V$3:$AD$122,9,FALSE)</f>
        <v>#N/A</v>
      </c>
      <c r="P3" s="472" t="s">
        <v>134</v>
      </c>
      <c r="Q3" s="479" t="e">
        <f>VLOOKUP(7,'資料2.内訳'!$V$3:$AD$122,9,FALSE)</f>
        <v>#N/A</v>
      </c>
      <c r="R3" s="472" t="s">
        <v>134</v>
      </c>
      <c r="S3" s="479" t="e">
        <f>VLOOKUP(8,'資料2.内訳'!$V$3:$AD$122,9,FALSE)</f>
        <v>#N/A</v>
      </c>
      <c r="T3" s="472" t="s">
        <v>134</v>
      </c>
      <c r="U3" s="479" t="e">
        <f>VLOOKUP(9,'資料2.内訳'!$V$3:$AD$122,9,FALSE)</f>
        <v>#N/A</v>
      </c>
      <c r="V3" s="472" t="s">
        <v>134</v>
      </c>
      <c r="W3" s="479" t="e">
        <f>VLOOKUP(10,'資料2.内訳'!$V$3:$AD$122,9,FALSE)</f>
        <v>#N/A</v>
      </c>
      <c r="X3" s="472" t="s">
        <v>134</v>
      </c>
      <c r="Y3" s="479" t="e">
        <f>VLOOKUP(11,'資料2.内訳'!$V$3:$AD$122,9,FALSE)</f>
        <v>#N/A</v>
      </c>
      <c r="Z3" s="472" t="s">
        <v>134</v>
      </c>
      <c r="AA3" s="479" t="e">
        <f>VLOOKUP(12,'資料2.内訳'!$V$3:$AD$122,9,FALSE)</f>
        <v>#N/A</v>
      </c>
      <c r="AB3" s="472" t="s">
        <v>134</v>
      </c>
      <c r="AC3" s="479" t="e">
        <f>VLOOKUP(13,'資料2.内訳'!$V$3:$AD$122,9,FALSE)</f>
        <v>#N/A</v>
      </c>
      <c r="AD3" s="472" t="s">
        <v>134</v>
      </c>
      <c r="AE3" s="479" t="e">
        <f>VLOOKUP(14,'資料2.内訳'!$V$3:$AD$122,9,FALSE)</f>
        <v>#N/A</v>
      </c>
      <c r="AF3" s="472" t="s">
        <v>134</v>
      </c>
      <c r="AG3" s="479" t="e">
        <f>VLOOKUP(15,'資料2.内訳'!$V$3:$AD$122,9,FALSE)</f>
        <v>#N/A</v>
      </c>
      <c r="AH3" s="472" t="s">
        <v>134</v>
      </c>
      <c r="AI3" s="479" t="e">
        <f>VLOOKUP(16,'資料2.内訳'!$V$3:$AD$122,9,FALSE)</f>
        <v>#N/A</v>
      </c>
      <c r="AJ3" s="472" t="s">
        <v>134</v>
      </c>
      <c r="AK3" s="479" t="e">
        <f>VLOOKUP(17,'資料2.内訳'!$V$3:$AD$122,9,FALSE)</f>
        <v>#N/A</v>
      </c>
      <c r="AL3" s="472" t="s">
        <v>134</v>
      </c>
      <c r="AM3" s="479" t="e">
        <f>VLOOKUP(18,'資料2.内訳'!$V$3:$AD$122,9,FALSE)</f>
        <v>#N/A</v>
      </c>
      <c r="AN3" s="472" t="s">
        <v>134</v>
      </c>
      <c r="AO3" s="479" t="e">
        <f>VLOOKUP(19,'資料2.内訳'!$V$3:$AD$122,9,FALSE)</f>
        <v>#N/A</v>
      </c>
      <c r="AP3" s="472" t="s">
        <v>134</v>
      </c>
      <c r="AQ3" s="479" t="e">
        <f>VLOOKUP(20,'資料2.内訳'!$V$3:$AD$122,9,FALSE)</f>
        <v>#N/A</v>
      </c>
      <c r="AR3" s="472" t="s">
        <v>134</v>
      </c>
      <c r="AS3" s="479" t="e">
        <f>VLOOKUP(21,'資料2.内訳'!$V$3:$AD$122,9,FALSE)</f>
        <v>#N/A</v>
      </c>
      <c r="AT3" s="472" t="s">
        <v>134</v>
      </c>
      <c r="AU3" s="479" t="e">
        <f>VLOOKUP(22,'資料2.内訳'!$V$3:$AD$122,9,FALSE)</f>
        <v>#N/A</v>
      </c>
      <c r="AV3" s="472" t="s">
        <v>134</v>
      </c>
      <c r="AW3" s="479" t="e">
        <f>VLOOKUP(23,'資料2.内訳'!$V$3:$AD$122,9,FALSE)</f>
        <v>#N/A</v>
      </c>
      <c r="AX3" s="472" t="s">
        <v>134</v>
      </c>
      <c r="AY3" s="479" t="e">
        <f>VLOOKUP(24,'資料2.内訳'!$V$3:$AD$122,9,FALSE)</f>
        <v>#N/A</v>
      </c>
      <c r="AZ3" s="472" t="s">
        <v>134</v>
      </c>
      <c r="BA3" s="479" t="e">
        <f>VLOOKUP(25,'資料2.内訳'!$V$3:$AD$122,9,FALSE)</f>
        <v>#N/A</v>
      </c>
      <c r="BB3" s="472" t="s">
        <v>134</v>
      </c>
      <c r="BC3" s="479" t="e">
        <f>VLOOKUP(26,'資料2.内訳'!$V$3:$AD$122,9,FALSE)</f>
        <v>#N/A</v>
      </c>
      <c r="BD3" s="472" t="s">
        <v>134</v>
      </c>
      <c r="BE3" s="479" t="e">
        <f>VLOOKUP(27,'資料2.内訳'!$V$3:$AD$122,9,FALSE)</f>
        <v>#N/A</v>
      </c>
      <c r="BF3" s="472" t="s">
        <v>134</v>
      </c>
      <c r="BG3" s="479" t="e">
        <f>VLOOKUP(28,'資料2.内訳'!$V$3:$AD$122,9,FALSE)</f>
        <v>#N/A</v>
      </c>
      <c r="BH3" s="472" t="s">
        <v>134</v>
      </c>
      <c r="BI3" s="479" t="e">
        <f>VLOOKUP(29,'資料2.内訳'!$V$3:$AD$122,9,FALSE)</f>
        <v>#N/A</v>
      </c>
      <c r="BJ3" s="472" t="s">
        <v>134</v>
      </c>
      <c r="BK3" s="479" t="e">
        <f>VLOOKUP(30,'資料2.内訳'!$V$3:$AD$122,9,FALSE)</f>
        <v>#N/A</v>
      </c>
    </row>
    <row r="4" spans="1:72" ht="58.5" customHeight="1">
      <c r="A4" s="454"/>
      <c r="B4" s="460"/>
      <c r="C4" s="466"/>
      <c r="D4" s="473" t="s">
        <v>133</v>
      </c>
      <c r="E4" s="480" t="str">
        <f>VLOOKUP(1,'資料2.内訳'!$V$3:$AD$122,4,FALSE)</f>
        <v>役員報酬</v>
      </c>
      <c r="F4" s="473" t="s">
        <v>133</v>
      </c>
      <c r="G4" s="480" t="str">
        <f>VLOOKUP(2,'資料2.内訳'!$V$3:$AD$122,4,FALSE)</f>
        <v>共同防除日当</v>
      </c>
      <c r="H4" s="473" t="s">
        <v>133</v>
      </c>
      <c r="I4" s="480" t="str">
        <f>VLOOKUP(3,'資料2.内訳'!$V$3:$AD$122,4,FALSE)</f>
        <v>水路補修作業日当</v>
      </c>
      <c r="J4" s="473" t="s">
        <v>133</v>
      </c>
      <c r="K4" s="480" t="str">
        <f>VLOOKUP(4,'資料2.内訳'!$V$3:$AD$122,4,FALSE)</f>
        <v>水路泥上げ日当</v>
      </c>
      <c r="L4" s="473" t="s">
        <v>133</v>
      </c>
      <c r="M4" s="480" t="str">
        <f>VLOOKUP(5,'資料2.内訳'!$V$3:$AD$122,4,FALSE)</f>
        <v>耕作放棄地草刈日当</v>
      </c>
      <c r="N4" s="473" t="s">
        <v>133</v>
      </c>
      <c r="O4" s="480" t="e">
        <f>VLOOKUP(6,'資料2.内訳'!$V$3:$AD$122,4,FALSE)</f>
        <v>#N/A</v>
      </c>
      <c r="P4" s="473" t="s">
        <v>133</v>
      </c>
      <c r="Q4" s="480" t="e">
        <f>VLOOKUP(7,'資料2.内訳'!$V$3:$AD$122,4,FALSE)</f>
        <v>#N/A</v>
      </c>
      <c r="R4" s="473" t="s">
        <v>133</v>
      </c>
      <c r="S4" s="480" t="e">
        <f>VLOOKUP(8,'資料2.内訳'!$V$3:$AD$122,4,FALSE)</f>
        <v>#N/A</v>
      </c>
      <c r="T4" s="473" t="s">
        <v>133</v>
      </c>
      <c r="U4" s="480" t="e">
        <f>VLOOKUP(9,'資料2.内訳'!$V$3:$AD$122,4,FALSE)</f>
        <v>#N/A</v>
      </c>
      <c r="V4" s="473" t="s">
        <v>133</v>
      </c>
      <c r="W4" s="480" t="e">
        <f>VLOOKUP(10,'資料2.内訳'!$V$3:$AD$122,4,FALSE)</f>
        <v>#N/A</v>
      </c>
      <c r="X4" s="473" t="s">
        <v>133</v>
      </c>
      <c r="Y4" s="480" t="e">
        <f>VLOOKUP(11,'資料2.内訳'!$V$3:$AD$122,4,FALSE)</f>
        <v>#N/A</v>
      </c>
      <c r="Z4" s="473" t="s">
        <v>133</v>
      </c>
      <c r="AA4" s="480" t="e">
        <f>VLOOKUP(12,'資料2.内訳'!$V$3:$AD$122,4,FALSE)</f>
        <v>#N/A</v>
      </c>
      <c r="AB4" s="473" t="s">
        <v>133</v>
      </c>
      <c r="AC4" s="480" t="e">
        <f>VLOOKUP(13,'資料2.内訳'!$V$3:$AD$122,4,FALSE)</f>
        <v>#N/A</v>
      </c>
      <c r="AD4" s="473" t="s">
        <v>133</v>
      </c>
      <c r="AE4" s="480" t="e">
        <f>VLOOKUP(14,'資料2.内訳'!$V$3:$AD$122,4,FALSE)</f>
        <v>#N/A</v>
      </c>
      <c r="AF4" s="473" t="s">
        <v>133</v>
      </c>
      <c r="AG4" s="480" t="e">
        <f>VLOOKUP(15,'資料2.内訳'!$V$3:$AD$122,4,FALSE)</f>
        <v>#N/A</v>
      </c>
      <c r="AH4" s="473" t="s">
        <v>133</v>
      </c>
      <c r="AI4" s="480" t="e">
        <f>VLOOKUP(16,'資料2.内訳'!$V$3:$AD$122,4,FALSE)</f>
        <v>#N/A</v>
      </c>
      <c r="AJ4" s="473" t="s">
        <v>133</v>
      </c>
      <c r="AK4" s="480" t="e">
        <f>VLOOKUP(17,'資料2.内訳'!$V$3:$AD$122,4,FALSE)</f>
        <v>#N/A</v>
      </c>
      <c r="AL4" s="473" t="s">
        <v>133</v>
      </c>
      <c r="AM4" s="480" t="e">
        <f>VLOOKUP(18,'資料2.内訳'!$V$3:$AD$122,4,FALSE)</f>
        <v>#N/A</v>
      </c>
      <c r="AN4" s="473" t="s">
        <v>133</v>
      </c>
      <c r="AO4" s="480" t="e">
        <f>VLOOKUP(19,'資料2.内訳'!$V$3:$AD$122,4,FALSE)</f>
        <v>#N/A</v>
      </c>
      <c r="AP4" s="473" t="s">
        <v>133</v>
      </c>
      <c r="AQ4" s="480" t="e">
        <f>VLOOKUP(20,'資料2.内訳'!$V$3:$AD$122,4,FALSE)</f>
        <v>#N/A</v>
      </c>
      <c r="AR4" s="473" t="s">
        <v>133</v>
      </c>
      <c r="AS4" s="480" t="e">
        <f>VLOOKUP(21,'資料2.内訳'!$V$3:$AD$122,4,FALSE)</f>
        <v>#N/A</v>
      </c>
      <c r="AT4" s="473" t="s">
        <v>133</v>
      </c>
      <c r="AU4" s="480" t="e">
        <f>VLOOKUP(22,'資料2.内訳'!$V$3:$AD$122,4,FALSE)</f>
        <v>#N/A</v>
      </c>
      <c r="AV4" s="473" t="s">
        <v>133</v>
      </c>
      <c r="AW4" s="480" t="e">
        <f>VLOOKUP(23,'資料2.内訳'!$V$3:$AD$122,4,FALSE)</f>
        <v>#N/A</v>
      </c>
      <c r="AX4" s="473" t="s">
        <v>133</v>
      </c>
      <c r="AY4" s="480" t="e">
        <f>VLOOKUP(24,'資料2.内訳'!$V$3:$AD$122,4,FALSE)</f>
        <v>#N/A</v>
      </c>
      <c r="AZ4" s="473" t="s">
        <v>133</v>
      </c>
      <c r="BA4" s="480" t="e">
        <f>VLOOKUP(25,'資料2.内訳'!$V$3:$AD$122,4,FALSE)</f>
        <v>#N/A</v>
      </c>
      <c r="BB4" s="473" t="s">
        <v>133</v>
      </c>
      <c r="BC4" s="480" t="e">
        <f>VLOOKUP(26,'資料2.内訳'!$V$3:$AD$122,4,FALSE)</f>
        <v>#N/A</v>
      </c>
      <c r="BD4" s="473" t="s">
        <v>133</v>
      </c>
      <c r="BE4" s="480" t="e">
        <f>VLOOKUP(27,'資料2.内訳'!$V$3:$AD$122,4,FALSE)</f>
        <v>#N/A</v>
      </c>
      <c r="BF4" s="473" t="s">
        <v>133</v>
      </c>
      <c r="BG4" s="480" t="e">
        <f>VLOOKUP(28,'資料2.内訳'!$V$3:$AD$122,4,FALSE)</f>
        <v>#N/A</v>
      </c>
      <c r="BH4" s="473" t="s">
        <v>133</v>
      </c>
      <c r="BI4" s="480" t="e">
        <f>VLOOKUP(29,'資料2.内訳'!$V$3:$AD$122,4,FALSE)</f>
        <v>#N/A</v>
      </c>
      <c r="BJ4" s="473" t="s">
        <v>133</v>
      </c>
      <c r="BK4" s="480" t="e">
        <f>VLOOKUP(30,'資料2.内訳'!$V$3:$AD$122,4,FALSE)</f>
        <v>#N/A</v>
      </c>
    </row>
    <row r="5" spans="1:72" ht="26.25" customHeight="1">
      <c r="A5" s="454"/>
      <c r="B5" s="460"/>
      <c r="C5" s="466"/>
      <c r="D5" s="473" t="s">
        <v>131</v>
      </c>
      <c r="E5" s="481">
        <f>VLOOKUP(1,'資料2.内訳'!$V$3:$AD$122,5,FALSE)</f>
        <v>10000</v>
      </c>
      <c r="F5" s="473" t="s">
        <v>131</v>
      </c>
      <c r="G5" s="481">
        <f>VLOOKUP(2,'資料2.内訳'!$V$3:$AD$122,5,FALSE)</f>
        <v>10000</v>
      </c>
      <c r="H5" s="473" t="s">
        <v>131</v>
      </c>
      <c r="I5" s="481">
        <f>VLOOKUP(3,'資料2.内訳'!$V$3:$AD$122,5,FALSE)</f>
        <v>5000</v>
      </c>
      <c r="J5" s="473" t="s">
        <v>131</v>
      </c>
      <c r="K5" s="481">
        <f>VLOOKUP(4,'資料2.内訳'!$V$3:$AD$122,5,FALSE)</f>
        <v>5000</v>
      </c>
      <c r="L5" s="473" t="s">
        <v>131</v>
      </c>
      <c r="M5" s="481">
        <f>VLOOKUP(5,'資料2.内訳'!$V$3:$AD$122,5,FALSE)</f>
        <v>5000</v>
      </c>
      <c r="N5" s="473" t="s">
        <v>131</v>
      </c>
      <c r="O5" s="481" t="e">
        <f>VLOOKUP(6,'資料2.内訳'!$V$3:$AD$122,5,FALSE)</f>
        <v>#N/A</v>
      </c>
      <c r="P5" s="473" t="s">
        <v>131</v>
      </c>
      <c r="Q5" s="481" t="e">
        <f>VLOOKUP(7,'資料2.内訳'!$V$3:$AD$122,5,FALSE)</f>
        <v>#N/A</v>
      </c>
      <c r="R5" s="473" t="s">
        <v>131</v>
      </c>
      <c r="S5" s="481" t="e">
        <f>VLOOKUP(8,'資料2.内訳'!$V$3:$AD$122,5,FALSE)</f>
        <v>#N/A</v>
      </c>
      <c r="T5" s="473" t="s">
        <v>131</v>
      </c>
      <c r="U5" s="481" t="e">
        <f>VLOOKUP(9,'資料2.内訳'!$V$3:$AD$122,5,FALSE)</f>
        <v>#N/A</v>
      </c>
      <c r="V5" s="473" t="s">
        <v>131</v>
      </c>
      <c r="W5" s="481" t="e">
        <f>VLOOKUP(10,'資料2.内訳'!$V$3:$AD$122,5,FALSE)</f>
        <v>#N/A</v>
      </c>
      <c r="X5" s="473" t="s">
        <v>131</v>
      </c>
      <c r="Y5" s="481" t="e">
        <f>VLOOKUP(11,'資料2.内訳'!$V$3:$AD$122,5,FALSE)</f>
        <v>#N/A</v>
      </c>
      <c r="Z5" s="473" t="s">
        <v>131</v>
      </c>
      <c r="AA5" s="481" t="e">
        <f>VLOOKUP(12,'資料2.内訳'!$V$3:$AD$122,5,FALSE)</f>
        <v>#N/A</v>
      </c>
      <c r="AB5" s="473" t="s">
        <v>131</v>
      </c>
      <c r="AC5" s="481" t="e">
        <f>VLOOKUP(13,'資料2.内訳'!$V$3:$AD$122,5,FALSE)</f>
        <v>#N/A</v>
      </c>
      <c r="AD5" s="473" t="s">
        <v>131</v>
      </c>
      <c r="AE5" s="481" t="e">
        <f>VLOOKUP(14,'資料2.内訳'!$V$3:$AD$122,5,FALSE)</f>
        <v>#N/A</v>
      </c>
      <c r="AF5" s="473" t="s">
        <v>131</v>
      </c>
      <c r="AG5" s="481" t="e">
        <f>VLOOKUP(15,'資料2.内訳'!$V$3:$AD$122,5,FALSE)</f>
        <v>#N/A</v>
      </c>
      <c r="AH5" s="473" t="s">
        <v>131</v>
      </c>
      <c r="AI5" s="481" t="e">
        <f>VLOOKUP(16,'資料2.内訳'!$V$3:$AD$122,5,FALSE)</f>
        <v>#N/A</v>
      </c>
      <c r="AJ5" s="473" t="s">
        <v>131</v>
      </c>
      <c r="AK5" s="481" t="e">
        <f>VLOOKUP(17,'資料2.内訳'!$V$3:$AD$122,5,FALSE)</f>
        <v>#N/A</v>
      </c>
      <c r="AL5" s="473" t="s">
        <v>131</v>
      </c>
      <c r="AM5" s="481" t="e">
        <f>VLOOKUP(18,'資料2.内訳'!$V$3:$AD$122,5,FALSE)</f>
        <v>#N/A</v>
      </c>
      <c r="AN5" s="473" t="s">
        <v>131</v>
      </c>
      <c r="AO5" s="481" t="e">
        <f>VLOOKUP(19,'資料2.内訳'!$V$3:$AD$122,5,FALSE)</f>
        <v>#N/A</v>
      </c>
      <c r="AP5" s="473" t="s">
        <v>131</v>
      </c>
      <c r="AQ5" s="481" t="e">
        <f>VLOOKUP(20,'資料2.内訳'!$V$3:$AD$122,5,FALSE)</f>
        <v>#N/A</v>
      </c>
      <c r="AR5" s="473" t="s">
        <v>131</v>
      </c>
      <c r="AS5" s="481" t="e">
        <f>VLOOKUP(21,'資料2.内訳'!$V$3:$AD$122,5,FALSE)</f>
        <v>#N/A</v>
      </c>
      <c r="AT5" s="473" t="s">
        <v>131</v>
      </c>
      <c r="AU5" s="481" t="e">
        <f>VLOOKUP(22,'資料2.内訳'!$V$3:$AD$122,5,FALSE)</f>
        <v>#N/A</v>
      </c>
      <c r="AV5" s="473" t="s">
        <v>131</v>
      </c>
      <c r="AW5" s="481" t="e">
        <f>VLOOKUP(23,'資料2.内訳'!$V$3:$AD$122,5,FALSE)</f>
        <v>#N/A</v>
      </c>
      <c r="AX5" s="473" t="s">
        <v>131</v>
      </c>
      <c r="AY5" s="481" t="e">
        <f>VLOOKUP(24,'資料2.内訳'!$V$3:$AD$122,5,FALSE)</f>
        <v>#N/A</v>
      </c>
      <c r="AZ5" s="473" t="s">
        <v>131</v>
      </c>
      <c r="BA5" s="481" t="e">
        <f>VLOOKUP(25,'資料2.内訳'!$V$3:$AD$122,5,FALSE)</f>
        <v>#N/A</v>
      </c>
      <c r="BB5" s="473" t="s">
        <v>131</v>
      </c>
      <c r="BC5" s="481" t="e">
        <f>VLOOKUP(26,'資料2.内訳'!$V$3:$AD$122,5,FALSE)</f>
        <v>#N/A</v>
      </c>
      <c r="BD5" s="473" t="s">
        <v>131</v>
      </c>
      <c r="BE5" s="481" t="e">
        <f>VLOOKUP(27,'資料2.内訳'!$V$3:$AD$122,5,FALSE)</f>
        <v>#N/A</v>
      </c>
      <c r="BF5" s="473" t="s">
        <v>131</v>
      </c>
      <c r="BG5" s="481" t="e">
        <f>VLOOKUP(28,'資料2.内訳'!$V$3:$AD$122,5,FALSE)</f>
        <v>#N/A</v>
      </c>
      <c r="BH5" s="473" t="s">
        <v>131</v>
      </c>
      <c r="BI5" s="481" t="e">
        <f>VLOOKUP(29,'資料2.内訳'!$V$3:$AD$122,5,FALSE)</f>
        <v>#N/A</v>
      </c>
      <c r="BJ5" s="473" t="s">
        <v>131</v>
      </c>
      <c r="BK5" s="481" t="e">
        <f>VLOOKUP(30,'資料2.内訳'!$V$3:$AD$122,5,FALSE)</f>
        <v>#N/A</v>
      </c>
    </row>
    <row r="6" spans="1:72" ht="26.25" customHeight="1">
      <c r="A6" s="455"/>
      <c r="B6" s="461"/>
      <c r="C6" s="467"/>
      <c r="D6" s="474" t="s">
        <v>135</v>
      </c>
      <c r="E6" s="482"/>
      <c r="F6" s="474" t="s">
        <v>135</v>
      </c>
      <c r="G6" s="482"/>
      <c r="H6" s="474" t="s">
        <v>135</v>
      </c>
      <c r="I6" s="482"/>
      <c r="J6" s="474" t="s">
        <v>135</v>
      </c>
      <c r="K6" s="482"/>
      <c r="L6" s="474" t="s">
        <v>135</v>
      </c>
      <c r="M6" s="482"/>
      <c r="N6" s="474" t="s">
        <v>135</v>
      </c>
      <c r="O6" s="482"/>
      <c r="P6" s="474" t="s">
        <v>135</v>
      </c>
      <c r="Q6" s="482"/>
      <c r="R6" s="474" t="s">
        <v>135</v>
      </c>
      <c r="S6" s="482"/>
      <c r="T6" s="474" t="s">
        <v>135</v>
      </c>
      <c r="U6" s="482"/>
      <c r="V6" s="474" t="s">
        <v>135</v>
      </c>
      <c r="W6" s="482"/>
      <c r="X6" s="474" t="s">
        <v>135</v>
      </c>
      <c r="Y6" s="482"/>
      <c r="Z6" s="474" t="s">
        <v>135</v>
      </c>
      <c r="AA6" s="482"/>
      <c r="AB6" s="474" t="s">
        <v>135</v>
      </c>
      <c r="AC6" s="482"/>
      <c r="AD6" s="474" t="s">
        <v>135</v>
      </c>
      <c r="AE6" s="482"/>
      <c r="AF6" s="474" t="s">
        <v>135</v>
      </c>
      <c r="AG6" s="482"/>
      <c r="AH6" s="474" t="s">
        <v>135</v>
      </c>
      <c r="AI6" s="482"/>
      <c r="AJ6" s="474" t="s">
        <v>135</v>
      </c>
      <c r="AK6" s="482"/>
      <c r="AL6" s="474" t="s">
        <v>135</v>
      </c>
      <c r="AM6" s="482"/>
      <c r="AN6" s="474" t="s">
        <v>135</v>
      </c>
      <c r="AO6" s="482"/>
      <c r="AP6" s="474" t="s">
        <v>135</v>
      </c>
      <c r="AQ6" s="482"/>
      <c r="AR6" s="474" t="s">
        <v>135</v>
      </c>
      <c r="AS6" s="482"/>
      <c r="AT6" s="474" t="s">
        <v>135</v>
      </c>
      <c r="AU6" s="482"/>
      <c r="AV6" s="474" t="s">
        <v>135</v>
      </c>
      <c r="AW6" s="482"/>
      <c r="AX6" s="474" t="s">
        <v>135</v>
      </c>
      <c r="AY6" s="482"/>
      <c r="AZ6" s="474" t="s">
        <v>135</v>
      </c>
      <c r="BA6" s="482"/>
      <c r="BB6" s="474" t="s">
        <v>135</v>
      </c>
      <c r="BC6" s="482"/>
      <c r="BD6" s="474" t="s">
        <v>135</v>
      </c>
      <c r="BE6" s="482"/>
      <c r="BF6" s="474" t="s">
        <v>135</v>
      </c>
      <c r="BG6" s="482"/>
      <c r="BH6" s="474" t="s">
        <v>135</v>
      </c>
      <c r="BI6" s="482"/>
      <c r="BJ6" s="474" t="s">
        <v>135</v>
      </c>
      <c r="BK6" s="482"/>
    </row>
    <row r="7" spans="1:72" ht="25.5" customHeight="1">
      <c r="A7" s="456">
        <v>1</v>
      </c>
      <c r="B7" s="462" t="str">
        <f>'資料1.参加者及び面積'!F3</f>
        <v>口羽太郎</v>
      </c>
      <c r="C7" s="468">
        <f t="shared" ref="C7:C36" si="0">SUM(D7:BK7)</f>
        <v>5000</v>
      </c>
      <c r="D7" s="475">
        <v>2000</v>
      </c>
      <c r="E7" s="483"/>
      <c r="F7" s="475">
        <v>1000</v>
      </c>
      <c r="G7" s="483"/>
      <c r="H7" s="475"/>
      <c r="I7" s="483"/>
      <c r="J7" s="475">
        <v>1000</v>
      </c>
      <c r="K7" s="483"/>
      <c r="L7" s="475">
        <v>1000</v>
      </c>
      <c r="M7" s="483"/>
      <c r="N7" s="475"/>
      <c r="O7" s="483"/>
      <c r="P7" s="490"/>
      <c r="Q7" s="491"/>
      <c r="R7" s="490"/>
      <c r="S7" s="491"/>
      <c r="T7" s="490"/>
      <c r="U7" s="491"/>
      <c r="V7" s="490"/>
      <c r="W7" s="491"/>
      <c r="X7" s="490"/>
      <c r="Y7" s="491"/>
      <c r="Z7" s="490"/>
      <c r="AA7" s="491"/>
      <c r="AB7" s="490"/>
      <c r="AC7" s="491"/>
      <c r="AD7" s="490"/>
      <c r="AE7" s="491"/>
      <c r="AF7" s="490"/>
      <c r="AG7" s="491"/>
      <c r="AH7" s="490"/>
      <c r="AI7" s="491"/>
      <c r="AJ7" s="490"/>
      <c r="AK7" s="491"/>
      <c r="AL7" s="490"/>
      <c r="AM7" s="491"/>
      <c r="AN7" s="490"/>
      <c r="AO7" s="491"/>
      <c r="AP7" s="490"/>
      <c r="AQ7" s="491"/>
      <c r="AR7" s="490"/>
      <c r="AS7" s="491"/>
      <c r="AT7" s="490"/>
      <c r="AU7" s="491"/>
      <c r="AV7" s="490"/>
      <c r="AW7" s="491"/>
      <c r="AX7" s="490"/>
      <c r="AY7" s="491"/>
      <c r="AZ7" s="490"/>
      <c r="BA7" s="491"/>
      <c r="BB7" s="490"/>
      <c r="BC7" s="491"/>
      <c r="BD7" s="490"/>
      <c r="BE7" s="491"/>
      <c r="BF7" s="490"/>
      <c r="BG7" s="491"/>
      <c r="BH7" s="490"/>
      <c r="BI7" s="491"/>
      <c r="BJ7" s="490"/>
      <c r="BK7" s="491"/>
      <c r="BT7" s="492" t="s">
        <v>56</v>
      </c>
    </row>
    <row r="8" spans="1:72" ht="25.5" customHeight="1">
      <c r="A8" s="457">
        <v>2</v>
      </c>
      <c r="B8" s="463" t="str">
        <f>'資料1.参加者及び面積'!F4</f>
        <v>阿須那花子</v>
      </c>
      <c r="C8" s="469">
        <f t="shared" si="0"/>
        <v>2000</v>
      </c>
      <c r="D8" s="476"/>
      <c r="E8" s="484"/>
      <c r="F8" s="476">
        <v>1000</v>
      </c>
      <c r="G8" s="484"/>
      <c r="H8" s="476">
        <v>1000</v>
      </c>
      <c r="I8" s="484"/>
      <c r="J8" s="476"/>
      <c r="K8" s="484"/>
      <c r="L8" s="476"/>
      <c r="M8" s="484"/>
      <c r="N8" s="476"/>
      <c r="O8" s="484"/>
      <c r="P8" s="477"/>
      <c r="Q8" s="485"/>
      <c r="R8" s="477"/>
      <c r="S8" s="485"/>
      <c r="T8" s="477"/>
      <c r="U8" s="485"/>
      <c r="V8" s="477"/>
      <c r="W8" s="485"/>
      <c r="X8" s="477"/>
      <c r="Y8" s="485"/>
      <c r="Z8" s="477"/>
      <c r="AA8" s="485"/>
      <c r="AB8" s="477"/>
      <c r="AC8" s="485"/>
      <c r="AD8" s="477"/>
      <c r="AE8" s="485"/>
      <c r="AF8" s="477"/>
      <c r="AG8" s="485"/>
      <c r="AH8" s="477"/>
      <c r="AI8" s="485"/>
      <c r="AJ8" s="477"/>
      <c r="AK8" s="485"/>
      <c r="AL8" s="477"/>
      <c r="AM8" s="485"/>
      <c r="AN8" s="477"/>
      <c r="AO8" s="485"/>
      <c r="AP8" s="477"/>
      <c r="AQ8" s="485"/>
      <c r="AR8" s="477"/>
      <c r="AS8" s="485"/>
      <c r="AT8" s="477"/>
      <c r="AU8" s="485"/>
      <c r="AV8" s="477"/>
      <c r="AW8" s="485"/>
      <c r="AX8" s="477"/>
      <c r="AY8" s="485"/>
      <c r="AZ8" s="477"/>
      <c r="BA8" s="485"/>
      <c r="BB8" s="477"/>
      <c r="BC8" s="485"/>
      <c r="BD8" s="477"/>
      <c r="BE8" s="485"/>
      <c r="BF8" s="477"/>
      <c r="BG8" s="485"/>
      <c r="BH8" s="477"/>
      <c r="BI8" s="485"/>
      <c r="BJ8" s="477"/>
      <c r="BK8" s="485"/>
      <c r="BT8" s="493" t="s">
        <v>201</v>
      </c>
    </row>
    <row r="9" spans="1:72" ht="25.5" customHeight="1">
      <c r="A9" s="457">
        <v>3</v>
      </c>
      <c r="B9" s="463" t="str">
        <f>'資料1.参加者及び面積'!F5</f>
        <v>布施一郎</v>
      </c>
      <c r="C9" s="469">
        <f t="shared" si="0"/>
        <v>4000</v>
      </c>
      <c r="D9" s="476">
        <v>2000</v>
      </c>
      <c r="E9" s="484"/>
      <c r="F9" s="476">
        <v>1000</v>
      </c>
      <c r="G9" s="484"/>
      <c r="H9" s="476"/>
      <c r="I9" s="484"/>
      <c r="J9" s="476">
        <v>1000</v>
      </c>
      <c r="K9" s="484"/>
      <c r="L9" s="476"/>
      <c r="M9" s="484"/>
      <c r="N9" s="476"/>
      <c r="O9" s="484"/>
      <c r="P9" s="477"/>
      <c r="Q9" s="485"/>
      <c r="R9" s="477"/>
      <c r="S9" s="485"/>
      <c r="T9" s="477"/>
      <c r="U9" s="485"/>
      <c r="V9" s="477"/>
      <c r="W9" s="485"/>
      <c r="X9" s="477"/>
      <c r="Y9" s="485"/>
      <c r="Z9" s="477"/>
      <c r="AA9" s="485"/>
      <c r="AB9" s="477"/>
      <c r="AC9" s="485"/>
      <c r="AD9" s="477"/>
      <c r="AE9" s="485"/>
      <c r="AF9" s="477"/>
      <c r="AG9" s="485"/>
      <c r="AH9" s="477"/>
      <c r="AI9" s="485"/>
      <c r="AJ9" s="477"/>
      <c r="AK9" s="485"/>
      <c r="AL9" s="477"/>
      <c r="AM9" s="485"/>
      <c r="AN9" s="477"/>
      <c r="AO9" s="485"/>
      <c r="AP9" s="477"/>
      <c r="AQ9" s="485"/>
      <c r="AR9" s="477"/>
      <c r="AS9" s="485"/>
      <c r="AT9" s="477"/>
      <c r="AU9" s="485"/>
      <c r="AV9" s="477"/>
      <c r="AW9" s="485"/>
      <c r="AX9" s="477"/>
      <c r="AY9" s="485"/>
      <c r="AZ9" s="477"/>
      <c r="BA9" s="485"/>
      <c r="BB9" s="477"/>
      <c r="BC9" s="485"/>
      <c r="BD9" s="477"/>
      <c r="BE9" s="485"/>
      <c r="BF9" s="477"/>
      <c r="BG9" s="485"/>
      <c r="BH9" s="477"/>
      <c r="BI9" s="485"/>
      <c r="BJ9" s="477"/>
      <c r="BK9" s="485"/>
      <c r="BT9" s="493" t="s">
        <v>202</v>
      </c>
    </row>
    <row r="10" spans="1:72" ht="25.5" customHeight="1">
      <c r="A10" s="457">
        <v>4</v>
      </c>
      <c r="B10" s="463" t="str">
        <f>'資料1.参加者及び面積'!F6</f>
        <v>高原二郎</v>
      </c>
      <c r="C10" s="469">
        <f t="shared" si="0"/>
        <v>4000</v>
      </c>
      <c r="D10" s="476">
        <v>2000</v>
      </c>
      <c r="E10" s="484"/>
      <c r="F10" s="476">
        <v>1000</v>
      </c>
      <c r="G10" s="484"/>
      <c r="H10" s="476"/>
      <c r="I10" s="484"/>
      <c r="J10" s="476">
        <v>1000</v>
      </c>
      <c r="K10" s="484"/>
      <c r="L10" s="476"/>
      <c r="M10" s="484"/>
      <c r="N10" s="476"/>
      <c r="O10" s="484"/>
      <c r="P10" s="477"/>
      <c r="Q10" s="485"/>
      <c r="R10" s="477"/>
      <c r="S10" s="485"/>
      <c r="T10" s="477"/>
      <c r="U10" s="485"/>
      <c r="V10" s="477"/>
      <c r="W10" s="485"/>
      <c r="X10" s="477"/>
      <c r="Y10" s="485"/>
      <c r="Z10" s="477"/>
      <c r="AA10" s="485"/>
      <c r="AB10" s="477"/>
      <c r="AC10" s="485"/>
      <c r="AD10" s="477"/>
      <c r="AE10" s="485"/>
      <c r="AF10" s="477"/>
      <c r="AG10" s="485"/>
      <c r="AH10" s="477"/>
      <c r="AI10" s="485"/>
      <c r="AJ10" s="477"/>
      <c r="AK10" s="485"/>
      <c r="AL10" s="477"/>
      <c r="AM10" s="485"/>
      <c r="AN10" s="477"/>
      <c r="AO10" s="485"/>
      <c r="AP10" s="477"/>
      <c r="AQ10" s="485"/>
      <c r="AR10" s="477"/>
      <c r="AS10" s="485"/>
      <c r="AT10" s="477"/>
      <c r="AU10" s="485"/>
      <c r="AV10" s="477"/>
      <c r="AW10" s="485"/>
      <c r="AX10" s="477"/>
      <c r="AY10" s="485"/>
      <c r="AZ10" s="477"/>
      <c r="BA10" s="485"/>
      <c r="BB10" s="477"/>
      <c r="BC10" s="485"/>
      <c r="BD10" s="477"/>
      <c r="BE10" s="485"/>
      <c r="BF10" s="477"/>
      <c r="BG10" s="485"/>
      <c r="BH10" s="477"/>
      <c r="BI10" s="485"/>
      <c r="BJ10" s="477"/>
      <c r="BK10" s="485"/>
      <c r="BT10" s="493" t="s">
        <v>203</v>
      </c>
    </row>
    <row r="11" spans="1:72" ht="25.5" customHeight="1">
      <c r="A11" s="457">
        <v>5</v>
      </c>
      <c r="B11" s="463" t="str">
        <f>'資料1.参加者及び面積'!F7</f>
        <v>出羽三郎</v>
      </c>
      <c r="C11" s="469">
        <f t="shared" si="0"/>
        <v>2000</v>
      </c>
      <c r="D11" s="476"/>
      <c r="E11" s="484"/>
      <c r="F11" s="476">
        <v>1000</v>
      </c>
      <c r="G11" s="484"/>
      <c r="H11" s="476"/>
      <c r="I11" s="484"/>
      <c r="J11" s="476"/>
      <c r="K11" s="484"/>
      <c r="L11" s="476">
        <v>1000</v>
      </c>
      <c r="M11" s="484"/>
      <c r="N11" s="476"/>
      <c r="O11" s="484"/>
      <c r="P11" s="477"/>
      <c r="Q11" s="485"/>
      <c r="R11" s="477"/>
      <c r="S11" s="485"/>
      <c r="T11" s="477"/>
      <c r="U11" s="485"/>
      <c r="V11" s="477"/>
      <c r="W11" s="485"/>
      <c r="X11" s="477"/>
      <c r="Y11" s="485"/>
      <c r="Z11" s="477"/>
      <c r="AA11" s="485"/>
      <c r="AB11" s="477"/>
      <c r="AC11" s="485"/>
      <c r="AD11" s="477"/>
      <c r="AE11" s="485"/>
      <c r="AF11" s="477"/>
      <c r="AG11" s="485"/>
      <c r="AH11" s="477"/>
      <c r="AI11" s="485"/>
      <c r="AJ11" s="477"/>
      <c r="AK11" s="485"/>
      <c r="AL11" s="477"/>
      <c r="AM11" s="485"/>
      <c r="AN11" s="477"/>
      <c r="AO11" s="485"/>
      <c r="AP11" s="477"/>
      <c r="AQ11" s="485"/>
      <c r="AR11" s="477"/>
      <c r="AS11" s="485"/>
      <c r="AT11" s="477"/>
      <c r="AU11" s="485"/>
      <c r="AV11" s="477"/>
      <c r="AW11" s="485"/>
      <c r="AX11" s="477"/>
      <c r="AY11" s="485"/>
      <c r="AZ11" s="477"/>
      <c r="BA11" s="485"/>
      <c r="BB11" s="477"/>
      <c r="BC11" s="485"/>
      <c r="BD11" s="477"/>
      <c r="BE11" s="485"/>
      <c r="BF11" s="477"/>
      <c r="BG11" s="485"/>
      <c r="BH11" s="477"/>
      <c r="BI11" s="485"/>
      <c r="BJ11" s="477"/>
      <c r="BK11" s="485"/>
      <c r="BT11" s="493" t="s">
        <v>205</v>
      </c>
    </row>
    <row r="12" spans="1:72" ht="25.5" customHeight="1">
      <c r="A12" s="457">
        <v>6</v>
      </c>
      <c r="B12" s="463" t="str">
        <f>'資料1.参加者及び面積'!F8</f>
        <v>田所四郎</v>
      </c>
      <c r="C12" s="469">
        <f t="shared" si="0"/>
        <v>2000</v>
      </c>
      <c r="D12" s="476"/>
      <c r="E12" s="484"/>
      <c r="F12" s="476">
        <v>1000</v>
      </c>
      <c r="G12" s="484"/>
      <c r="H12" s="476"/>
      <c r="I12" s="484"/>
      <c r="J12" s="476"/>
      <c r="K12" s="484"/>
      <c r="L12" s="476">
        <v>1000</v>
      </c>
      <c r="M12" s="484"/>
      <c r="N12" s="476"/>
      <c r="O12" s="484"/>
      <c r="P12" s="477"/>
      <c r="Q12" s="485"/>
      <c r="R12" s="477"/>
      <c r="S12" s="485"/>
      <c r="T12" s="477"/>
      <c r="U12" s="485"/>
      <c r="V12" s="477"/>
      <c r="W12" s="485"/>
      <c r="X12" s="477"/>
      <c r="Y12" s="485"/>
      <c r="Z12" s="477"/>
      <c r="AA12" s="485"/>
      <c r="AB12" s="477"/>
      <c r="AC12" s="485"/>
      <c r="AD12" s="477"/>
      <c r="AE12" s="485"/>
      <c r="AF12" s="477"/>
      <c r="AG12" s="485"/>
      <c r="AH12" s="477"/>
      <c r="AI12" s="485"/>
      <c r="AJ12" s="477"/>
      <c r="AK12" s="485"/>
      <c r="AL12" s="477"/>
      <c r="AM12" s="485"/>
      <c r="AN12" s="477"/>
      <c r="AO12" s="485"/>
      <c r="AP12" s="477"/>
      <c r="AQ12" s="485"/>
      <c r="AR12" s="477"/>
      <c r="AS12" s="485"/>
      <c r="AT12" s="477"/>
      <c r="AU12" s="485"/>
      <c r="AV12" s="477"/>
      <c r="AW12" s="485"/>
      <c r="AX12" s="477"/>
      <c r="AY12" s="485"/>
      <c r="AZ12" s="477"/>
      <c r="BA12" s="485"/>
      <c r="BB12" s="477"/>
      <c r="BC12" s="485"/>
      <c r="BD12" s="477"/>
      <c r="BE12" s="485"/>
      <c r="BF12" s="477"/>
      <c r="BG12" s="485"/>
      <c r="BH12" s="477"/>
      <c r="BI12" s="485"/>
      <c r="BJ12" s="477"/>
      <c r="BK12" s="485"/>
      <c r="BT12" s="493" t="s">
        <v>206</v>
      </c>
    </row>
    <row r="13" spans="1:72" ht="25.5" customHeight="1">
      <c r="A13" s="457">
        <v>7</v>
      </c>
      <c r="B13" s="463" t="str">
        <f>'資料1.参加者及び面積'!F9</f>
        <v>市木五郎</v>
      </c>
      <c r="C13" s="469">
        <f t="shared" si="0"/>
        <v>2000</v>
      </c>
      <c r="D13" s="476"/>
      <c r="E13" s="484"/>
      <c r="F13" s="476">
        <v>1000</v>
      </c>
      <c r="G13" s="484"/>
      <c r="H13" s="476"/>
      <c r="I13" s="484"/>
      <c r="J13" s="476"/>
      <c r="K13" s="484"/>
      <c r="L13" s="476">
        <v>1000</v>
      </c>
      <c r="M13" s="484"/>
      <c r="N13" s="476"/>
      <c r="O13" s="484"/>
      <c r="P13" s="477"/>
      <c r="Q13" s="485"/>
      <c r="R13" s="477"/>
      <c r="S13" s="485"/>
      <c r="T13" s="477"/>
      <c r="U13" s="485"/>
      <c r="V13" s="477"/>
      <c r="W13" s="485"/>
      <c r="X13" s="477"/>
      <c r="Y13" s="485"/>
      <c r="Z13" s="477"/>
      <c r="AA13" s="485"/>
      <c r="AB13" s="477"/>
      <c r="AC13" s="485"/>
      <c r="AD13" s="477"/>
      <c r="AE13" s="485"/>
      <c r="AF13" s="477"/>
      <c r="AG13" s="485"/>
      <c r="AH13" s="477"/>
      <c r="AI13" s="485"/>
      <c r="AJ13" s="477"/>
      <c r="AK13" s="485"/>
      <c r="AL13" s="477"/>
      <c r="AM13" s="485"/>
      <c r="AN13" s="477"/>
      <c r="AO13" s="485"/>
      <c r="AP13" s="477"/>
      <c r="AQ13" s="485"/>
      <c r="AR13" s="477"/>
      <c r="AS13" s="485"/>
      <c r="AT13" s="477"/>
      <c r="AU13" s="485"/>
      <c r="AV13" s="477"/>
      <c r="AW13" s="485"/>
      <c r="AX13" s="477"/>
      <c r="AY13" s="485"/>
      <c r="AZ13" s="477"/>
      <c r="BA13" s="485"/>
      <c r="BB13" s="477"/>
      <c r="BC13" s="485"/>
      <c r="BD13" s="477"/>
      <c r="BE13" s="485"/>
      <c r="BF13" s="477"/>
      <c r="BG13" s="485"/>
      <c r="BH13" s="477"/>
      <c r="BI13" s="485"/>
      <c r="BJ13" s="477"/>
      <c r="BK13" s="485"/>
      <c r="BT13" s="494"/>
    </row>
    <row r="14" spans="1:72" ht="25.5" customHeight="1">
      <c r="A14" s="457">
        <v>8</v>
      </c>
      <c r="B14" s="463" t="str">
        <f>'資料1.参加者及び面積'!F10</f>
        <v>井原六郎</v>
      </c>
      <c r="C14" s="469">
        <f t="shared" si="0"/>
        <v>4000</v>
      </c>
      <c r="D14" s="476">
        <v>2000</v>
      </c>
      <c r="E14" s="484"/>
      <c r="F14" s="476">
        <v>1000</v>
      </c>
      <c r="G14" s="484"/>
      <c r="H14" s="476"/>
      <c r="I14" s="484"/>
      <c r="J14" s="476"/>
      <c r="K14" s="484"/>
      <c r="L14" s="476">
        <v>1000</v>
      </c>
      <c r="M14" s="484"/>
      <c r="N14" s="476"/>
      <c r="O14" s="484"/>
      <c r="P14" s="477"/>
      <c r="Q14" s="485"/>
      <c r="R14" s="477"/>
      <c r="S14" s="485"/>
      <c r="T14" s="477"/>
      <c r="U14" s="485"/>
      <c r="V14" s="477"/>
      <c r="W14" s="485"/>
      <c r="X14" s="477"/>
      <c r="Y14" s="485"/>
      <c r="Z14" s="477"/>
      <c r="AA14" s="485"/>
      <c r="AB14" s="477"/>
      <c r="AC14" s="485"/>
      <c r="AD14" s="477"/>
      <c r="AE14" s="485"/>
      <c r="AF14" s="477"/>
      <c r="AG14" s="485"/>
      <c r="AH14" s="477"/>
      <c r="AI14" s="485"/>
      <c r="AJ14" s="477"/>
      <c r="AK14" s="485"/>
      <c r="AL14" s="477"/>
      <c r="AM14" s="485"/>
      <c r="AN14" s="477"/>
      <c r="AO14" s="485"/>
      <c r="AP14" s="477"/>
      <c r="AQ14" s="485"/>
      <c r="AR14" s="477"/>
      <c r="AS14" s="485"/>
      <c r="AT14" s="477"/>
      <c r="AU14" s="485"/>
      <c r="AV14" s="477"/>
      <c r="AW14" s="485"/>
      <c r="AX14" s="477"/>
      <c r="AY14" s="485"/>
      <c r="AZ14" s="477"/>
      <c r="BA14" s="485"/>
      <c r="BB14" s="477"/>
      <c r="BC14" s="485"/>
      <c r="BD14" s="477"/>
      <c r="BE14" s="485"/>
      <c r="BF14" s="477"/>
      <c r="BG14" s="485"/>
      <c r="BH14" s="477"/>
      <c r="BI14" s="485"/>
      <c r="BJ14" s="477"/>
      <c r="BK14" s="485"/>
    </row>
    <row r="15" spans="1:72" ht="25.5" customHeight="1">
      <c r="A15" s="457">
        <v>9</v>
      </c>
      <c r="B15" s="463" t="str">
        <f>'資料1.参加者及び面積'!F11</f>
        <v>中野七郎</v>
      </c>
      <c r="C15" s="469">
        <f t="shared" si="0"/>
        <v>3000</v>
      </c>
      <c r="D15" s="476"/>
      <c r="E15" s="484"/>
      <c r="F15" s="476">
        <v>1000</v>
      </c>
      <c r="G15" s="484"/>
      <c r="H15" s="476">
        <v>1000</v>
      </c>
      <c r="I15" s="484"/>
      <c r="J15" s="476">
        <v>1000</v>
      </c>
      <c r="K15" s="484"/>
      <c r="L15" s="476"/>
      <c r="M15" s="484"/>
      <c r="N15" s="476"/>
      <c r="O15" s="484"/>
      <c r="P15" s="477"/>
      <c r="Q15" s="485"/>
      <c r="R15" s="477"/>
      <c r="S15" s="485"/>
      <c r="T15" s="477"/>
      <c r="U15" s="485"/>
      <c r="V15" s="477"/>
      <c r="W15" s="485"/>
      <c r="X15" s="477"/>
      <c r="Y15" s="485"/>
      <c r="Z15" s="477"/>
      <c r="AA15" s="485"/>
      <c r="AB15" s="477"/>
      <c r="AC15" s="485"/>
      <c r="AD15" s="477"/>
      <c r="AE15" s="485"/>
      <c r="AF15" s="477"/>
      <c r="AG15" s="485"/>
      <c r="AH15" s="477"/>
      <c r="AI15" s="485"/>
      <c r="AJ15" s="477"/>
      <c r="AK15" s="485"/>
      <c r="AL15" s="477"/>
      <c r="AM15" s="485"/>
      <c r="AN15" s="477"/>
      <c r="AO15" s="485"/>
      <c r="AP15" s="477"/>
      <c r="AQ15" s="485"/>
      <c r="AR15" s="477"/>
      <c r="AS15" s="485"/>
      <c r="AT15" s="477"/>
      <c r="AU15" s="485"/>
      <c r="AV15" s="477"/>
      <c r="AW15" s="485"/>
      <c r="AX15" s="477"/>
      <c r="AY15" s="485"/>
      <c r="AZ15" s="477"/>
      <c r="BA15" s="485"/>
      <c r="BB15" s="477"/>
      <c r="BC15" s="485"/>
      <c r="BD15" s="477"/>
      <c r="BE15" s="485"/>
      <c r="BF15" s="477"/>
      <c r="BG15" s="485"/>
      <c r="BH15" s="477"/>
      <c r="BI15" s="485"/>
      <c r="BJ15" s="477"/>
      <c r="BK15" s="485"/>
    </row>
    <row r="16" spans="1:72" ht="25.5" customHeight="1">
      <c r="A16" s="457">
        <v>10</v>
      </c>
      <c r="B16" s="463" t="str">
        <f>'資料1.参加者及び面積'!F12</f>
        <v>矢上八郎</v>
      </c>
      <c r="C16" s="469">
        <f t="shared" si="0"/>
        <v>3000</v>
      </c>
      <c r="D16" s="476"/>
      <c r="E16" s="484"/>
      <c r="F16" s="476">
        <v>1000</v>
      </c>
      <c r="G16" s="484"/>
      <c r="H16" s="476">
        <v>1000</v>
      </c>
      <c r="I16" s="484"/>
      <c r="J16" s="476">
        <v>1000</v>
      </c>
      <c r="K16" s="484"/>
      <c r="L16" s="476"/>
      <c r="M16" s="484"/>
      <c r="N16" s="476"/>
      <c r="O16" s="484"/>
      <c r="P16" s="477"/>
      <c r="Q16" s="485"/>
      <c r="R16" s="477"/>
      <c r="S16" s="485"/>
      <c r="T16" s="477"/>
      <c r="U16" s="485"/>
      <c r="V16" s="477"/>
      <c r="W16" s="485"/>
      <c r="X16" s="477"/>
      <c r="Y16" s="485"/>
      <c r="Z16" s="477"/>
      <c r="AA16" s="485"/>
      <c r="AB16" s="477"/>
      <c r="AC16" s="485"/>
      <c r="AD16" s="477"/>
      <c r="AE16" s="485"/>
      <c r="AF16" s="477"/>
      <c r="AG16" s="485"/>
      <c r="AH16" s="477"/>
      <c r="AI16" s="485"/>
      <c r="AJ16" s="477"/>
      <c r="AK16" s="485"/>
      <c r="AL16" s="477"/>
      <c r="AM16" s="485"/>
      <c r="AN16" s="477"/>
      <c r="AO16" s="485"/>
      <c r="AP16" s="477"/>
      <c r="AQ16" s="485"/>
      <c r="AR16" s="477"/>
      <c r="AS16" s="485"/>
      <c r="AT16" s="477"/>
      <c r="AU16" s="485"/>
      <c r="AV16" s="477"/>
      <c r="AW16" s="485"/>
      <c r="AX16" s="477"/>
      <c r="AY16" s="485"/>
      <c r="AZ16" s="477"/>
      <c r="BA16" s="485"/>
      <c r="BB16" s="477"/>
      <c r="BC16" s="485"/>
      <c r="BD16" s="477"/>
      <c r="BE16" s="485"/>
      <c r="BF16" s="477"/>
      <c r="BG16" s="485"/>
      <c r="BH16" s="477"/>
      <c r="BI16" s="485"/>
      <c r="BJ16" s="477"/>
      <c r="BK16" s="485"/>
    </row>
    <row r="17" spans="1:63" ht="25.5" customHeight="1">
      <c r="A17" s="457">
        <v>11</v>
      </c>
      <c r="B17" s="463" t="str">
        <f>'資料1.参加者及び面積'!F13</f>
        <v>日和九郎</v>
      </c>
      <c r="C17" s="469">
        <f t="shared" si="0"/>
        <v>1000</v>
      </c>
      <c r="D17" s="476"/>
      <c r="E17" s="484"/>
      <c r="F17" s="476"/>
      <c r="G17" s="484"/>
      <c r="H17" s="476">
        <v>1000</v>
      </c>
      <c r="I17" s="484"/>
      <c r="J17" s="476"/>
      <c r="K17" s="484"/>
      <c r="L17" s="476"/>
      <c r="M17" s="484"/>
      <c r="N17" s="476"/>
      <c r="O17" s="484"/>
      <c r="P17" s="477"/>
      <c r="Q17" s="485"/>
      <c r="R17" s="477"/>
      <c r="S17" s="485"/>
      <c r="T17" s="477"/>
      <c r="U17" s="485"/>
      <c r="V17" s="477"/>
      <c r="W17" s="485"/>
      <c r="X17" s="477"/>
      <c r="Y17" s="485"/>
      <c r="Z17" s="477"/>
      <c r="AA17" s="485"/>
      <c r="AB17" s="477"/>
      <c r="AC17" s="485"/>
      <c r="AD17" s="477"/>
      <c r="AE17" s="485"/>
      <c r="AF17" s="477"/>
      <c r="AG17" s="485"/>
      <c r="AH17" s="477"/>
      <c r="AI17" s="485"/>
      <c r="AJ17" s="477"/>
      <c r="AK17" s="485"/>
      <c r="AL17" s="477"/>
      <c r="AM17" s="485"/>
      <c r="AN17" s="477"/>
      <c r="AO17" s="485"/>
      <c r="AP17" s="477"/>
      <c r="AQ17" s="485"/>
      <c r="AR17" s="477"/>
      <c r="AS17" s="485"/>
      <c r="AT17" s="477"/>
      <c r="AU17" s="485"/>
      <c r="AV17" s="477"/>
      <c r="AW17" s="485"/>
      <c r="AX17" s="477"/>
      <c r="AY17" s="485"/>
      <c r="AZ17" s="477"/>
      <c r="BA17" s="485"/>
      <c r="BB17" s="477"/>
      <c r="BC17" s="485"/>
      <c r="BD17" s="477"/>
      <c r="BE17" s="485"/>
      <c r="BF17" s="477"/>
      <c r="BG17" s="485"/>
      <c r="BH17" s="477"/>
      <c r="BI17" s="485"/>
      <c r="BJ17" s="477"/>
      <c r="BK17" s="485"/>
    </row>
    <row r="18" spans="1:63" ht="25.5" customHeight="1">
      <c r="A18" s="457">
        <v>12</v>
      </c>
      <c r="B18" s="463" t="str">
        <f>'資料1.参加者及び面積'!F14</f>
        <v>日貫十兵衛</v>
      </c>
      <c r="C18" s="469">
        <f t="shared" si="0"/>
        <v>3000</v>
      </c>
      <c r="D18" s="476">
        <v>2000</v>
      </c>
      <c r="E18" s="484"/>
      <c r="F18" s="476"/>
      <c r="G18" s="484"/>
      <c r="H18" s="476">
        <v>1000</v>
      </c>
      <c r="I18" s="484"/>
      <c r="J18" s="476"/>
      <c r="K18" s="484"/>
      <c r="L18" s="476"/>
      <c r="M18" s="484"/>
      <c r="N18" s="476"/>
      <c r="O18" s="484"/>
      <c r="P18" s="477"/>
      <c r="Q18" s="485"/>
      <c r="R18" s="477"/>
      <c r="S18" s="485"/>
      <c r="T18" s="477"/>
      <c r="U18" s="485"/>
      <c r="V18" s="477"/>
      <c r="W18" s="485"/>
      <c r="X18" s="477"/>
      <c r="Y18" s="485"/>
      <c r="Z18" s="477"/>
      <c r="AA18" s="485"/>
      <c r="AB18" s="477"/>
      <c r="AC18" s="485"/>
      <c r="AD18" s="477"/>
      <c r="AE18" s="485"/>
      <c r="AF18" s="477"/>
      <c r="AG18" s="485"/>
      <c r="AH18" s="477"/>
      <c r="AI18" s="485"/>
      <c r="AJ18" s="477"/>
      <c r="AK18" s="485"/>
      <c r="AL18" s="477"/>
      <c r="AM18" s="485"/>
      <c r="AN18" s="477"/>
      <c r="AO18" s="485"/>
      <c r="AP18" s="477"/>
      <c r="AQ18" s="485"/>
      <c r="AR18" s="477"/>
      <c r="AS18" s="485"/>
      <c r="AT18" s="477"/>
      <c r="AU18" s="485"/>
      <c r="AV18" s="477"/>
      <c r="AW18" s="485"/>
      <c r="AX18" s="477"/>
      <c r="AY18" s="485"/>
      <c r="AZ18" s="477"/>
      <c r="BA18" s="485"/>
      <c r="BB18" s="477"/>
      <c r="BC18" s="485"/>
      <c r="BD18" s="477"/>
      <c r="BE18" s="485"/>
      <c r="BF18" s="477"/>
      <c r="BG18" s="485"/>
      <c r="BH18" s="477"/>
      <c r="BI18" s="485"/>
      <c r="BJ18" s="477"/>
      <c r="BK18" s="485"/>
    </row>
    <row r="19" spans="1:63" ht="25.5" customHeight="1">
      <c r="A19" s="457">
        <v>13</v>
      </c>
      <c r="B19" s="463">
        <f>'資料1.参加者及び面積'!F15</f>
        <v>0</v>
      </c>
      <c r="C19" s="469">
        <f t="shared" si="0"/>
        <v>0</v>
      </c>
      <c r="D19" s="476"/>
      <c r="E19" s="484"/>
      <c r="F19" s="476"/>
      <c r="G19" s="484"/>
      <c r="H19" s="476"/>
      <c r="I19" s="484"/>
      <c r="J19" s="476"/>
      <c r="K19" s="484"/>
      <c r="L19" s="476"/>
      <c r="M19" s="484"/>
      <c r="N19" s="476"/>
      <c r="O19" s="484"/>
      <c r="P19" s="477"/>
      <c r="Q19" s="485"/>
      <c r="R19" s="477"/>
      <c r="S19" s="485"/>
      <c r="T19" s="477"/>
      <c r="U19" s="485"/>
      <c r="V19" s="477"/>
      <c r="W19" s="485"/>
      <c r="X19" s="477"/>
      <c r="Y19" s="485"/>
      <c r="Z19" s="477"/>
      <c r="AA19" s="485"/>
      <c r="AB19" s="477"/>
      <c r="AC19" s="485"/>
      <c r="AD19" s="477"/>
      <c r="AE19" s="485"/>
      <c r="AF19" s="477"/>
      <c r="AG19" s="485"/>
      <c r="AH19" s="477"/>
      <c r="AI19" s="485"/>
      <c r="AJ19" s="477"/>
      <c r="AK19" s="485"/>
      <c r="AL19" s="477"/>
      <c r="AM19" s="485"/>
      <c r="AN19" s="477"/>
      <c r="AO19" s="485"/>
      <c r="AP19" s="477"/>
      <c r="AQ19" s="485"/>
      <c r="AR19" s="477"/>
      <c r="AS19" s="485"/>
      <c r="AT19" s="477"/>
      <c r="AU19" s="485"/>
      <c r="AV19" s="477"/>
      <c r="AW19" s="485"/>
      <c r="AX19" s="477"/>
      <c r="AY19" s="485"/>
      <c r="AZ19" s="477"/>
      <c r="BA19" s="485"/>
      <c r="BB19" s="477"/>
      <c r="BC19" s="485"/>
      <c r="BD19" s="477"/>
      <c r="BE19" s="485"/>
      <c r="BF19" s="477"/>
      <c r="BG19" s="485"/>
      <c r="BH19" s="477"/>
      <c r="BI19" s="485"/>
      <c r="BJ19" s="477"/>
      <c r="BK19" s="485"/>
    </row>
    <row r="20" spans="1:63" ht="25.5" customHeight="1">
      <c r="A20" s="457">
        <v>14</v>
      </c>
      <c r="B20" s="463">
        <f>'資料1.参加者及び面積'!F16</f>
        <v>0</v>
      </c>
      <c r="C20" s="470">
        <f t="shared" si="0"/>
        <v>0</v>
      </c>
      <c r="D20" s="476"/>
      <c r="E20" s="484"/>
      <c r="F20" s="476"/>
      <c r="G20" s="484"/>
      <c r="H20" s="476"/>
      <c r="I20" s="484"/>
      <c r="J20" s="476"/>
      <c r="K20" s="484"/>
      <c r="L20" s="476"/>
      <c r="M20" s="484"/>
      <c r="N20" s="476"/>
      <c r="O20" s="484"/>
      <c r="P20" s="477"/>
      <c r="Q20" s="485"/>
      <c r="R20" s="477"/>
      <c r="S20" s="485"/>
      <c r="T20" s="477"/>
      <c r="U20" s="485"/>
      <c r="V20" s="477"/>
      <c r="W20" s="485"/>
      <c r="X20" s="477"/>
      <c r="Y20" s="485"/>
      <c r="Z20" s="477"/>
      <c r="AA20" s="485"/>
      <c r="AB20" s="477"/>
      <c r="AC20" s="485"/>
      <c r="AD20" s="477"/>
      <c r="AE20" s="485"/>
      <c r="AF20" s="477"/>
      <c r="AG20" s="485"/>
      <c r="AH20" s="477"/>
      <c r="AI20" s="485"/>
      <c r="AJ20" s="477"/>
      <c r="AK20" s="485"/>
      <c r="AL20" s="477"/>
      <c r="AM20" s="485"/>
      <c r="AN20" s="477"/>
      <c r="AO20" s="485"/>
      <c r="AP20" s="477"/>
      <c r="AQ20" s="485"/>
      <c r="AR20" s="477"/>
      <c r="AS20" s="485"/>
      <c r="AT20" s="477"/>
      <c r="AU20" s="485"/>
      <c r="AV20" s="477"/>
      <c r="AW20" s="485"/>
      <c r="AX20" s="477"/>
      <c r="AY20" s="485"/>
      <c r="AZ20" s="477"/>
      <c r="BA20" s="485"/>
      <c r="BB20" s="477"/>
      <c r="BC20" s="485"/>
      <c r="BD20" s="477"/>
      <c r="BE20" s="485"/>
      <c r="BF20" s="477"/>
      <c r="BG20" s="485"/>
      <c r="BH20" s="477"/>
      <c r="BI20" s="485"/>
      <c r="BJ20" s="477"/>
      <c r="BK20" s="485"/>
    </row>
    <row r="21" spans="1:63" ht="25.5" customHeight="1">
      <c r="A21" s="457">
        <v>15</v>
      </c>
      <c r="B21" s="463">
        <f>'資料1.参加者及び面積'!F17</f>
        <v>0</v>
      </c>
      <c r="C21" s="470">
        <f t="shared" si="0"/>
        <v>0</v>
      </c>
      <c r="D21" s="477"/>
      <c r="E21" s="485"/>
      <c r="F21" s="477"/>
      <c r="G21" s="485"/>
      <c r="H21" s="477"/>
      <c r="I21" s="485"/>
      <c r="J21" s="477"/>
      <c r="K21" s="485"/>
      <c r="L21" s="477"/>
      <c r="M21" s="485"/>
      <c r="N21" s="477"/>
      <c r="O21" s="485"/>
      <c r="P21" s="477"/>
      <c r="Q21" s="485"/>
      <c r="R21" s="477"/>
      <c r="S21" s="485"/>
      <c r="T21" s="477"/>
      <c r="U21" s="485"/>
      <c r="V21" s="477"/>
      <c r="W21" s="485"/>
      <c r="X21" s="477"/>
      <c r="Y21" s="485"/>
      <c r="Z21" s="477"/>
      <c r="AA21" s="485"/>
      <c r="AB21" s="477"/>
      <c r="AC21" s="485"/>
      <c r="AD21" s="477"/>
      <c r="AE21" s="485"/>
      <c r="AF21" s="477"/>
      <c r="AG21" s="485"/>
      <c r="AH21" s="477"/>
      <c r="AI21" s="485"/>
      <c r="AJ21" s="477"/>
      <c r="AK21" s="485"/>
      <c r="AL21" s="477"/>
      <c r="AM21" s="485"/>
      <c r="AN21" s="477"/>
      <c r="AO21" s="485"/>
      <c r="AP21" s="477"/>
      <c r="AQ21" s="485"/>
      <c r="AR21" s="477"/>
      <c r="AS21" s="485"/>
      <c r="AT21" s="477"/>
      <c r="AU21" s="485"/>
      <c r="AV21" s="477"/>
      <c r="AW21" s="485"/>
      <c r="AX21" s="477"/>
      <c r="AY21" s="485"/>
      <c r="AZ21" s="477"/>
      <c r="BA21" s="485"/>
      <c r="BB21" s="477"/>
      <c r="BC21" s="485"/>
      <c r="BD21" s="477"/>
      <c r="BE21" s="485"/>
      <c r="BF21" s="477"/>
      <c r="BG21" s="485"/>
      <c r="BH21" s="477"/>
      <c r="BI21" s="485"/>
      <c r="BJ21" s="477"/>
      <c r="BK21" s="485"/>
    </row>
    <row r="22" spans="1:63" ht="25.5" customHeight="1">
      <c r="A22" s="457">
        <v>16</v>
      </c>
      <c r="B22" s="463">
        <f>'資料1.参加者及び面積'!F18</f>
        <v>0</v>
      </c>
      <c r="C22" s="470">
        <f t="shared" si="0"/>
        <v>0</v>
      </c>
      <c r="D22" s="477"/>
      <c r="E22" s="485"/>
      <c r="F22" s="477"/>
      <c r="G22" s="485"/>
      <c r="H22" s="477"/>
      <c r="I22" s="485"/>
      <c r="J22" s="477"/>
      <c r="K22" s="485"/>
      <c r="L22" s="477"/>
      <c r="M22" s="485"/>
      <c r="N22" s="477"/>
      <c r="O22" s="485"/>
      <c r="P22" s="477"/>
      <c r="Q22" s="485"/>
      <c r="R22" s="477"/>
      <c r="S22" s="485"/>
      <c r="T22" s="477"/>
      <c r="U22" s="485"/>
      <c r="V22" s="477"/>
      <c r="W22" s="485"/>
      <c r="X22" s="477"/>
      <c r="Y22" s="485"/>
      <c r="Z22" s="477"/>
      <c r="AA22" s="485"/>
      <c r="AB22" s="477"/>
      <c r="AC22" s="485"/>
      <c r="AD22" s="477"/>
      <c r="AE22" s="485"/>
      <c r="AF22" s="477"/>
      <c r="AG22" s="485"/>
      <c r="AH22" s="477"/>
      <c r="AI22" s="485"/>
      <c r="AJ22" s="477"/>
      <c r="AK22" s="485"/>
      <c r="AL22" s="477"/>
      <c r="AM22" s="485"/>
      <c r="AN22" s="477"/>
      <c r="AO22" s="485"/>
      <c r="AP22" s="477"/>
      <c r="AQ22" s="485"/>
      <c r="AR22" s="477"/>
      <c r="AS22" s="485"/>
      <c r="AT22" s="477"/>
      <c r="AU22" s="485"/>
      <c r="AV22" s="477"/>
      <c r="AW22" s="485"/>
      <c r="AX22" s="477"/>
      <c r="AY22" s="485"/>
      <c r="AZ22" s="477"/>
      <c r="BA22" s="485"/>
      <c r="BB22" s="477"/>
      <c r="BC22" s="485"/>
      <c r="BD22" s="477"/>
      <c r="BE22" s="485"/>
      <c r="BF22" s="477"/>
      <c r="BG22" s="485"/>
      <c r="BH22" s="477"/>
      <c r="BI22" s="485"/>
      <c r="BJ22" s="477"/>
      <c r="BK22" s="485"/>
    </row>
    <row r="23" spans="1:63" ht="25.5" customHeight="1">
      <c r="A23" s="457">
        <v>17</v>
      </c>
      <c r="B23" s="463">
        <f>'資料1.参加者及び面積'!F19</f>
        <v>0</v>
      </c>
      <c r="C23" s="470">
        <f t="shared" si="0"/>
        <v>0</v>
      </c>
      <c r="D23" s="477"/>
      <c r="E23" s="485"/>
      <c r="F23" s="477"/>
      <c r="G23" s="485"/>
      <c r="H23" s="477"/>
      <c r="I23" s="485"/>
      <c r="J23" s="477"/>
      <c r="K23" s="485"/>
      <c r="L23" s="477"/>
      <c r="M23" s="485"/>
      <c r="N23" s="477"/>
      <c r="O23" s="485"/>
      <c r="P23" s="477"/>
      <c r="Q23" s="485"/>
      <c r="R23" s="477"/>
      <c r="S23" s="485"/>
      <c r="T23" s="477"/>
      <c r="U23" s="485"/>
      <c r="V23" s="477"/>
      <c r="W23" s="485"/>
      <c r="X23" s="477"/>
      <c r="Y23" s="485"/>
      <c r="Z23" s="477"/>
      <c r="AA23" s="485"/>
      <c r="AB23" s="477"/>
      <c r="AC23" s="485"/>
      <c r="AD23" s="477"/>
      <c r="AE23" s="485"/>
      <c r="AF23" s="477"/>
      <c r="AG23" s="485"/>
      <c r="AH23" s="477"/>
      <c r="AI23" s="485"/>
      <c r="AJ23" s="477"/>
      <c r="AK23" s="485"/>
      <c r="AL23" s="477"/>
      <c r="AM23" s="485"/>
      <c r="AN23" s="477"/>
      <c r="AO23" s="485"/>
      <c r="AP23" s="477"/>
      <c r="AQ23" s="485"/>
      <c r="AR23" s="477"/>
      <c r="AS23" s="485"/>
      <c r="AT23" s="477"/>
      <c r="AU23" s="485"/>
      <c r="AV23" s="477"/>
      <c r="AW23" s="485"/>
      <c r="AX23" s="477"/>
      <c r="AY23" s="485"/>
      <c r="AZ23" s="477"/>
      <c r="BA23" s="485"/>
      <c r="BB23" s="477"/>
      <c r="BC23" s="485"/>
      <c r="BD23" s="477"/>
      <c r="BE23" s="485"/>
      <c r="BF23" s="477"/>
      <c r="BG23" s="485"/>
      <c r="BH23" s="477"/>
      <c r="BI23" s="485"/>
      <c r="BJ23" s="477"/>
      <c r="BK23" s="485"/>
    </row>
    <row r="24" spans="1:63" ht="25.5" customHeight="1">
      <c r="A24" s="457">
        <v>18</v>
      </c>
      <c r="B24" s="463">
        <f>'資料1.参加者及び面積'!F20</f>
        <v>0</v>
      </c>
      <c r="C24" s="470">
        <f t="shared" si="0"/>
        <v>0</v>
      </c>
      <c r="D24" s="477"/>
      <c r="E24" s="485"/>
      <c r="F24" s="477"/>
      <c r="G24" s="485"/>
      <c r="H24" s="477"/>
      <c r="I24" s="485"/>
      <c r="J24" s="477"/>
      <c r="K24" s="485"/>
      <c r="L24" s="477"/>
      <c r="M24" s="485"/>
      <c r="N24" s="477"/>
      <c r="O24" s="485"/>
      <c r="P24" s="477"/>
      <c r="Q24" s="485"/>
      <c r="R24" s="477"/>
      <c r="S24" s="485"/>
      <c r="T24" s="477"/>
      <c r="U24" s="485"/>
      <c r="V24" s="477"/>
      <c r="W24" s="485"/>
      <c r="X24" s="477"/>
      <c r="Y24" s="485"/>
      <c r="Z24" s="477"/>
      <c r="AA24" s="485"/>
      <c r="AB24" s="477"/>
      <c r="AC24" s="485"/>
      <c r="AD24" s="477"/>
      <c r="AE24" s="485"/>
      <c r="AF24" s="477"/>
      <c r="AG24" s="485"/>
      <c r="AH24" s="477"/>
      <c r="AI24" s="485"/>
      <c r="AJ24" s="477"/>
      <c r="AK24" s="485"/>
      <c r="AL24" s="477"/>
      <c r="AM24" s="485"/>
      <c r="AN24" s="477"/>
      <c r="AO24" s="485"/>
      <c r="AP24" s="477"/>
      <c r="AQ24" s="485"/>
      <c r="AR24" s="477"/>
      <c r="AS24" s="485"/>
      <c r="AT24" s="477"/>
      <c r="AU24" s="485"/>
      <c r="AV24" s="477"/>
      <c r="AW24" s="485"/>
      <c r="AX24" s="477"/>
      <c r="AY24" s="485"/>
      <c r="AZ24" s="477"/>
      <c r="BA24" s="485"/>
      <c r="BB24" s="477"/>
      <c r="BC24" s="485"/>
      <c r="BD24" s="477"/>
      <c r="BE24" s="485"/>
      <c r="BF24" s="477"/>
      <c r="BG24" s="485"/>
      <c r="BH24" s="477"/>
      <c r="BI24" s="485"/>
      <c r="BJ24" s="477"/>
      <c r="BK24" s="485"/>
    </row>
    <row r="25" spans="1:63" ht="25.5" customHeight="1">
      <c r="A25" s="457">
        <v>19</v>
      </c>
      <c r="B25" s="463">
        <f>'資料1.参加者及び面積'!F21</f>
        <v>0</v>
      </c>
      <c r="C25" s="470">
        <f t="shared" si="0"/>
        <v>0</v>
      </c>
      <c r="D25" s="477"/>
      <c r="E25" s="485"/>
      <c r="F25" s="477"/>
      <c r="G25" s="485"/>
      <c r="H25" s="477"/>
      <c r="I25" s="485"/>
      <c r="J25" s="477"/>
      <c r="K25" s="485"/>
      <c r="L25" s="477"/>
      <c r="M25" s="485"/>
      <c r="N25" s="477"/>
      <c r="O25" s="485"/>
      <c r="P25" s="477"/>
      <c r="Q25" s="485"/>
      <c r="R25" s="477"/>
      <c r="S25" s="485"/>
      <c r="T25" s="477"/>
      <c r="U25" s="485"/>
      <c r="V25" s="477"/>
      <c r="W25" s="485"/>
      <c r="X25" s="477"/>
      <c r="Y25" s="485"/>
      <c r="Z25" s="477"/>
      <c r="AA25" s="485"/>
      <c r="AB25" s="477"/>
      <c r="AC25" s="485"/>
      <c r="AD25" s="477"/>
      <c r="AE25" s="485"/>
      <c r="AF25" s="477"/>
      <c r="AG25" s="485"/>
      <c r="AH25" s="477"/>
      <c r="AI25" s="485"/>
      <c r="AJ25" s="477"/>
      <c r="AK25" s="485"/>
      <c r="AL25" s="477"/>
      <c r="AM25" s="485"/>
      <c r="AN25" s="477"/>
      <c r="AO25" s="485"/>
      <c r="AP25" s="477"/>
      <c r="AQ25" s="485"/>
      <c r="AR25" s="477"/>
      <c r="AS25" s="485"/>
      <c r="AT25" s="477"/>
      <c r="AU25" s="485"/>
      <c r="AV25" s="477"/>
      <c r="AW25" s="485"/>
      <c r="AX25" s="477"/>
      <c r="AY25" s="485"/>
      <c r="AZ25" s="477"/>
      <c r="BA25" s="485"/>
      <c r="BB25" s="477"/>
      <c r="BC25" s="485"/>
      <c r="BD25" s="477"/>
      <c r="BE25" s="485"/>
      <c r="BF25" s="477"/>
      <c r="BG25" s="485"/>
      <c r="BH25" s="477"/>
      <c r="BI25" s="485"/>
      <c r="BJ25" s="477"/>
      <c r="BK25" s="485"/>
    </row>
    <row r="26" spans="1:63" ht="25.5" customHeight="1">
      <c r="A26" s="457">
        <v>20</v>
      </c>
      <c r="B26" s="463">
        <f>'資料1.参加者及び面積'!F22</f>
        <v>0</v>
      </c>
      <c r="C26" s="470">
        <f t="shared" si="0"/>
        <v>0</v>
      </c>
      <c r="D26" s="477"/>
      <c r="E26" s="485"/>
      <c r="F26" s="477"/>
      <c r="G26" s="485"/>
      <c r="H26" s="477"/>
      <c r="I26" s="485"/>
      <c r="J26" s="477"/>
      <c r="K26" s="485"/>
      <c r="L26" s="477"/>
      <c r="M26" s="485"/>
      <c r="N26" s="477"/>
      <c r="O26" s="485"/>
      <c r="P26" s="477"/>
      <c r="Q26" s="485"/>
      <c r="R26" s="477"/>
      <c r="S26" s="485"/>
      <c r="T26" s="477"/>
      <c r="U26" s="485"/>
      <c r="V26" s="477"/>
      <c r="W26" s="485"/>
      <c r="X26" s="477"/>
      <c r="Y26" s="485"/>
      <c r="Z26" s="477"/>
      <c r="AA26" s="485"/>
      <c r="AB26" s="477"/>
      <c r="AC26" s="485"/>
      <c r="AD26" s="477"/>
      <c r="AE26" s="485"/>
      <c r="AF26" s="477"/>
      <c r="AG26" s="485"/>
      <c r="AH26" s="477"/>
      <c r="AI26" s="485"/>
      <c r="AJ26" s="477"/>
      <c r="AK26" s="485"/>
      <c r="AL26" s="477"/>
      <c r="AM26" s="485"/>
      <c r="AN26" s="477"/>
      <c r="AO26" s="485"/>
      <c r="AP26" s="477"/>
      <c r="AQ26" s="485"/>
      <c r="AR26" s="477"/>
      <c r="AS26" s="485"/>
      <c r="AT26" s="477"/>
      <c r="AU26" s="485"/>
      <c r="AV26" s="477"/>
      <c r="AW26" s="485"/>
      <c r="AX26" s="477"/>
      <c r="AY26" s="485"/>
      <c r="AZ26" s="477"/>
      <c r="BA26" s="485"/>
      <c r="BB26" s="477"/>
      <c r="BC26" s="485"/>
      <c r="BD26" s="477"/>
      <c r="BE26" s="485"/>
      <c r="BF26" s="477"/>
      <c r="BG26" s="485"/>
      <c r="BH26" s="477"/>
      <c r="BI26" s="485"/>
      <c r="BJ26" s="477"/>
      <c r="BK26" s="485"/>
    </row>
    <row r="27" spans="1:63" ht="25.5" customHeight="1">
      <c r="A27" s="457">
        <v>21</v>
      </c>
      <c r="B27" s="463">
        <f>'資料1.参加者及び面積'!F23</f>
        <v>0</v>
      </c>
      <c r="C27" s="470">
        <f t="shared" si="0"/>
        <v>0</v>
      </c>
      <c r="D27" s="477"/>
      <c r="E27" s="485"/>
      <c r="F27" s="477"/>
      <c r="G27" s="485"/>
      <c r="H27" s="477"/>
      <c r="I27" s="485"/>
      <c r="J27" s="477"/>
      <c r="K27" s="485"/>
      <c r="L27" s="477"/>
      <c r="M27" s="485"/>
      <c r="N27" s="477"/>
      <c r="O27" s="485"/>
      <c r="P27" s="477"/>
      <c r="Q27" s="485"/>
      <c r="R27" s="477"/>
      <c r="S27" s="485"/>
      <c r="T27" s="477"/>
      <c r="U27" s="485"/>
      <c r="V27" s="477"/>
      <c r="W27" s="485"/>
      <c r="X27" s="477"/>
      <c r="Y27" s="485"/>
      <c r="Z27" s="477"/>
      <c r="AA27" s="485"/>
      <c r="AB27" s="477"/>
      <c r="AC27" s="485"/>
      <c r="AD27" s="477"/>
      <c r="AE27" s="485"/>
      <c r="AF27" s="477"/>
      <c r="AG27" s="485"/>
      <c r="AH27" s="477"/>
      <c r="AI27" s="485"/>
      <c r="AJ27" s="477"/>
      <c r="AK27" s="485"/>
      <c r="AL27" s="477"/>
      <c r="AM27" s="485"/>
      <c r="AN27" s="477"/>
      <c r="AO27" s="485"/>
      <c r="AP27" s="477"/>
      <c r="AQ27" s="485"/>
      <c r="AR27" s="477"/>
      <c r="AS27" s="485"/>
      <c r="AT27" s="477"/>
      <c r="AU27" s="485"/>
      <c r="AV27" s="477"/>
      <c r="AW27" s="485"/>
      <c r="AX27" s="477"/>
      <c r="AY27" s="485"/>
      <c r="AZ27" s="477"/>
      <c r="BA27" s="485"/>
      <c r="BB27" s="477"/>
      <c r="BC27" s="485"/>
      <c r="BD27" s="477"/>
      <c r="BE27" s="485"/>
      <c r="BF27" s="477"/>
      <c r="BG27" s="485"/>
      <c r="BH27" s="477"/>
      <c r="BI27" s="485"/>
      <c r="BJ27" s="477"/>
      <c r="BK27" s="485"/>
    </row>
    <row r="28" spans="1:63" ht="25.5" customHeight="1">
      <c r="A28" s="457">
        <v>22</v>
      </c>
      <c r="B28" s="463">
        <f>'資料1.参加者及び面積'!F24</f>
        <v>0</v>
      </c>
      <c r="C28" s="470">
        <f t="shared" si="0"/>
        <v>0</v>
      </c>
      <c r="D28" s="477"/>
      <c r="E28" s="485"/>
      <c r="F28" s="477"/>
      <c r="G28" s="485"/>
      <c r="H28" s="477"/>
      <c r="I28" s="485"/>
      <c r="J28" s="477"/>
      <c r="K28" s="485"/>
      <c r="L28" s="477"/>
      <c r="M28" s="485"/>
      <c r="N28" s="477"/>
      <c r="O28" s="485"/>
      <c r="P28" s="477"/>
      <c r="Q28" s="485"/>
      <c r="R28" s="477"/>
      <c r="S28" s="485"/>
      <c r="T28" s="477"/>
      <c r="U28" s="485"/>
      <c r="V28" s="477"/>
      <c r="W28" s="485"/>
      <c r="X28" s="477"/>
      <c r="Y28" s="485"/>
      <c r="Z28" s="477"/>
      <c r="AA28" s="485"/>
      <c r="AB28" s="477"/>
      <c r="AC28" s="485"/>
      <c r="AD28" s="477"/>
      <c r="AE28" s="485"/>
      <c r="AF28" s="477"/>
      <c r="AG28" s="485"/>
      <c r="AH28" s="477"/>
      <c r="AI28" s="485"/>
      <c r="AJ28" s="477"/>
      <c r="AK28" s="485"/>
      <c r="AL28" s="477"/>
      <c r="AM28" s="485"/>
      <c r="AN28" s="477"/>
      <c r="AO28" s="485"/>
      <c r="AP28" s="477"/>
      <c r="AQ28" s="485"/>
      <c r="AR28" s="477"/>
      <c r="AS28" s="485"/>
      <c r="AT28" s="477"/>
      <c r="AU28" s="485"/>
      <c r="AV28" s="477"/>
      <c r="AW28" s="485"/>
      <c r="AX28" s="477"/>
      <c r="AY28" s="485"/>
      <c r="AZ28" s="477"/>
      <c r="BA28" s="485"/>
      <c r="BB28" s="477"/>
      <c r="BC28" s="485"/>
      <c r="BD28" s="477"/>
      <c r="BE28" s="485"/>
      <c r="BF28" s="477"/>
      <c r="BG28" s="485"/>
      <c r="BH28" s="477"/>
      <c r="BI28" s="485"/>
      <c r="BJ28" s="477"/>
      <c r="BK28" s="485"/>
    </row>
    <row r="29" spans="1:63" ht="25.5" customHeight="1">
      <c r="A29" s="457">
        <v>23</v>
      </c>
      <c r="B29" s="463">
        <f>'資料1.参加者及び面積'!F25</f>
        <v>0</v>
      </c>
      <c r="C29" s="470">
        <f t="shared" si="0"/>
        <v>0</v>
      </c>
      <c r="D29" s="477"/>
      <c r="E29" s="485"/>
      <c r="F29" s="477"/>
      <c r="G29" s="485"/>
      <c r="H29" s="477"/>
      <c r="I29" s="485"/>
      <c r="J29" s="477"/>
      <c r="K29" s="485"/>
      <c r="L29" s="477"/>
      <c r="M29" s="485"/>
      <c r="N29" s="477"/>
      <c r="O29" s="485"/>
      <c r="P29" s="477"/>
      <c r="Q29" s="485"/>
      <c r="R29" s="477"/>
      <c r="S29" s="485"/>
      <c r="T29" s="477"/>
      <c r="U29" s="485"/>
      <c r="V29" s="477"/>
      <c r="W29" s="485"/>
      <c r="X29" s="477"/>
      <c r="Y29" s="485"/>
      <c r="Z29" s="477"/>
      <c r="AA29" s="485"/>
      <c r="AB29" s="477"/>
      <c r="AC29" s="485"/>
      <c r="AD29" s="477"/>
      <c r="AE29" s="485"/>
      <c r="AF29" s="477"/>
      <c r="AG29" s="485"/>
      <c r="AH29" s="477"/>
      <c r="AI29" s="485"/>
      <c r="AJ29" s="477"/>
      <c r="AK29" s="485"/>
      <c r="AL29" s="477"/>
      <c r="AM29" s="485"/>
      <c r="AN29" s="477"/>
      <c r="AO29" s="485"/>
      <c r="AP29" s="477"/>
      <c r="AQ29" s="485"/>
      <c r="AR29" s="477"/>
      <c r="AS29" s="485"/>
      <c r="AT29" s="477"/>
      <c r="AU29" s="485"/>
      <c r="AV29" s="477"/>
      <c r="AW29" s="485"/>
      <c r="AX29" s="477"/>
      <c r="AY29" s="485"/>
      <c r="AZ29" s="477"/>
      <c r="BA29" s="485"/>
      <c r="BB29" s="477"/>
      <c r="BC29" s="485"/>
      <c r="BD29" s="477"/>
      <c r="BE29" s="485"/>
      <c r="BF29" s="477"/>
      <c r="BG29" s="485"/>
      <c r="BH29" s="477"/>
      <c r="BI29" s="485"/>
      <c r="BJ29" s="477"/>
      <c r="BK29" s="485"/>
    </row>
    <row r="30" spans="1:63" ht="25.5" customHeight="1">
      <c r="A30" s="457">
        <v>24</v>
      </c>
      <c r="B30" s="463">
        <f>'資料1.参加者及び面積'!F26</f>
        <v>0</v>
      </c>
      <c r="C30" s="470">
        <f t="shared" si="0"/>
        <v>0</v>
      </c>
      <c r="D30" s="477"/>
      <c r="E30" s="485"/>
      <c r="F30" s="477"/>
      <c r="G30" s="485"/>
      <c r="H30" s="477"/>
      <c r="I30" s="485"/>
      <c r="J30" s="477"/>
      <c r="K30" s="485"/>
      <c r="L30" s="477"/>
      <c r="M30" s="485"/>
      <c r="N30" s="477"/>
      <c r="O30" s="485"/>
      <c r="P30" s="477"/>
      <c r="Q30" s="485"/>
      <c r="R30" s="477"/>
      <c r="S30" s="485"/>
      <c r="T30" s="477"/>
      <c r="U30" s="485"/>
      <c r="V30" s="477"/>
      <c r="W30" s="485"/>
      <c r="X30" s="477"/>
      <c r="Y30" s="485"/>
      <c r="Z30" s="477"/>
      <c r="AA30" s="485"/>
      <c r="AB30" s="477"/>
      <c r="AC30" s="485"/>
      <c r="AD30" s="477"/>
      <c r="AE30" s="485"/>
      <c r="AF30" s="477"/>
      <c r="AG30" s="485"/>
      <c r="AH30" s="477"/>
      <c r="AI30" s="485"/>
      <c r="AJ30" s="477"/>
      <c r="AK30" s="485"/>
      <c r="AL30" s="477"/>
      <c r="AM30" s="485"/>
      <c r="AN30" s="477"/>
      <c r="AO30" s="485"/>
      <c r="AP30" s="477"/>
      <c r="AQ30" s="485"/>
      <c r="AR30" s="477"/>
      <c r="AS30" s="485"/>
      <c r="AT30" s="477"/>
      <c r="AU30" s="485"/>
      <c r="AV30" s="477"/>
      <c r="AW30" s="485"/>
      <c r="AX30" s="477"/>
      <c r="AY30" s="485"/>
      <c r="AZ30" s="477"/>
      <c r="BA30" s="485"/>
      <c r="BB30" s="477"/>
      <c r="BC30" s="485"/>
      <c r="BD30" s="477"/>
      <c r="BE30" s="485"/>
      <c r="BF30" s="477"/>
      <c r="BG30" s="485"/>
      <c r="BH30" s="477"/>
      <c r="BI30" s="485"/>
      <c r="BJ30" s="477"/>
      <c r="BK30" s="485"/>
    </row>
    <row r="31" spans="1:63" ht="25.5" customHeight="1">
      <c r="A31" s="457">
        <v>25</v>
      </c>
      <c r="B31" s="463">
        <f>'資料1.参加者及び面積'!F27</f>
        <v>0</v>
      </c>
      <c r="C31" s="470">
        <f t="shared" si="0"/>
        <v>0</v>
      </c>
      <c r="D31" s="477"/>
      <c r="E31" s="485"/>
      <c r="F31" s="477"/>
      <c r="G31" s="485"/>
      <c r="H31" s="477"/>
      <c r="I31" s="485"/>
      <c r="J31" s="477"/>
      <c r="K31" s="485"/>
      <c r="L31" s="477"/>
      <c r="M31" s="485"/>
      <c r="N31" s="477"/>
      <c r="O31" s="485"/>
      <c r="P31" s="477"/>
      <c r="Q31" s="485"/>
      <c r="R31" s="477"/>
      <c r="S31" s="485"/>
      <c r="T31" s="477"/>
      <c r="U31" s="485"/>
      <c r="V31" s="477"/>
      <c r="W31" s="485"/>
      <c r="X31" s="477"/>
      <c r="Y31" s="485"/>
      <c r="Z31" s="477"/>
      <c r="AA31" s="485"/>
      <c r="AB31" s="477"/>
      <c r="AC31" s="485"/>
      <c r="AD31" s="477"/>
      <c r="AE31" s="485"/>
      <c r="AF31" s="477"/>
      <c r="AG31" s="485"/>
      <c r="AH31" s="477"/>
      <c r="AI31" s="485"/>
      <c r="AJ31" s="477"/>
      <c r="AK31" s="485"/>
      <c r="AL31" s="477"/>
      <c r="AM31" s="485"/>
      <c r="AN31" s="477"/>
      <c r="AO31" s="485"/>
      <c r="AP31" s="477"/>
      <c r="AQ31" s="485"/>
      <c r="AR31" s="477"/>
      <c r="AS31" s="485"/>
      <c r="AT31" s="477"/>
      <c r="AU31" s="485"/>
      <c r="AV31" s="477"/>
      <c r="AW31" s="485"/>
      <c r="AX31" s="477"/>
      <c r="AY31" s="485"/>
      <c r="AZ31" s="477"/>
      <c r="BA31" s="485"/>
      <c r="BB31" s="477"/>
      <c r="BC31" s="485"/>
      <c r="BD31" s="477"/>
      <c r="BE31" s="485"/>
      <c r="BF31" s="477"/>
      <c r="BG31" s="485"/>
      <c r="BH31" s="477"/>
      <c r="BI31" s="485"/>
      <c r="BJ31" s="477"/>
      <c r="BK31" s="485"/>
    </row>
    <row r="32" spans="1:63" ht="25.5" customHeight="1">
      <c r="A32" s="457">
        <v>26</v>
      </c>
      <c r="B32" s="463">
        <f>'資料1.参加者及び面積'!F28</f>
        <v>0</v>
      </c>
      <c r="C32" s="470">
        <f t="shared" si="0"/>
        <v>0</v>
      </c>
      <c r="D32" s="477"/>
      <c r="E32" s="485"/>
      <c r="F32" s="477"/>
      <c r="G32" s="485"/>
      <c r="H32" s="477"/>
      <c r="I32" s="485"/>
      <c r="J32" s="477"/>
      <c r="K32" s="485"/>
      <c r="L32" s="477"/>
      <c r="M32" s="485"/>
      <c r="N32" s="477"/>
      <c r="O32" s="485"/>
      <c r="P32" s="477"/>
      <c r="Q32" s="485"/>
      <c r="R32" s="477"/>
      <c r="S32" s="485"/>
      <c r="T32" s="477"/>
      <c r="U32" s="485"/>
      <c r="V32" s="477"/>
      <c r="W32" s="485"/>
      <c r="X32" s="477"/>
      <c r="Y32" s="485"/>
      <c r="Z32" s="477"/>
      <c r="AA32" s="485"/>
      <c r="AB32" s="477"/>
      <c r="AC32" s="485"/>
      <c r="AD32" s="477"/>
      <c r="AE32" s="485"/>
      <c r="AF32" s="477"/>
      <c r="AG32" s="485"/>
      <c r="AH32" s="477"/>
      <c r="AI32" s="485"/>
      <c r="AJ32" s="477"/>
      <c r="AK32" s="485"/>
      <c r="AL32" s="477"/>
      <c r="AM32" s="485"/>
      <c r="AN32" s="477"/>
      <c r="AO32" s="485"/>
      <c r="AP32" s="477"/>
      <c r="AQ32" s="485"/>
      <c r="AR32" s="477"/>
      <c r="AS32" s="485"/>
      <c r="AT32" s="477"/>
      <c r="AU32" s="485"/>
      <c r="AV32" s="477"/>
      <c r="AW32" s="485"/>
      <c r="AX32" s="477"/>
      <c r="AY32" s="485"/>
      <c r="AZ32" s="477"/>
      <c r="BA32" s="485"/>
      <c r="BB32" s="477"/>
      <c r="BC32" s="485"/>
      <c r="BD32" s="477"/>
      <c r="BE32" s="485"/>
      <c r="BF32" s="477"/>
      <c r="BG32" s="485"/>
      <c r="BH32" s="477"/>
      <c r="BI32" s="485"/>
      <c r="BJ32" s="477"/>
      <c r="BK32" s="485"/>
    </row>
    <row r="33" spans="1:63" ht="25.5" customHeight="1">
      <c r="A33" s="457">
        <v>27</v>
      </c>
      <c r="B33" s="463">
        <f>'資料1.参加者及び面積'!F29</f>
        <v>0</v>
      </c>
      <c r="C33" s="470">
        <f t="shared" si="0"/>
        <v>0</v>
      </c>
      <c r="D33" s="477"/>
      <c r="E33" s="485"/>
      <c r="F33" s="477"/>
      <c r="G33" s="485"/>
      <c r="H33" s="477"/>
      <c r="I33" s="485"/>
      <c r="J33" s="477"/>
      <c r="K33" s="485"/>
      <c r="L33" s="477"/>
      <c r="M33" s="485"/>
      <c r="N33" s="477"/>
      <c r="O33" s="485"/>
      <c r="P33" s="477"/>
      <c r="Q33" s="485"/>
      <c r="R33" s="477"/>
      <c r="S33" s="485"/>
      <c r="T33" s="477"/>
      <c r="U33" s="485"/>
      <c r="V33" s="477"/>
      <c r="W33" s="485"/>
      <c r="X33" s="477"/>
      <c r="Y33" s="485"/>
      <c r="Z33" s="477"/>
      <c r="AA33" s="485"/>
      <c r="AB33" s="477"/>
      <c r="AC33" s="485"/>
      <c r="AD33" s="477"/>
      <c r="AE33" s="485"/>
      <c r="AF33" s="477"/>
      <c r="AG33" s="485"/>
      <c r="AH33" s="477"/>
      <c r="AI33" s="485"/>
      <c r="AJ33" s="477"/>
      <c r="AK33" s="485"/>
      <c r="AL33" s="477"/>
      <c r="AM33" s="485"/>
      <c r="AN33" s="477"/>
      <c r="AO33" s="485"/>
      <c r="AP33" s="477"/>
      <c r="AQ33" s="485"/>
      <c r="AR33" s="477"/>
      <c r="AS33" s="485"/>
      <c r="AT33" s="477"/>
      <c r="AU33" s="485"/>
      <c r="AV33" s="477"/>
      <c r="AW33" s="485"/>
      <c r="AX33" s="477"/>
      <c r="AY33" s="485"/>
      <c r="AZ33" s="477"/>
      <c r="BA33" s="485"/>
      <c r="BB33" s="477"/>
      <c r="BC33" s="485"/>
      <c r="BD33" s="477"/>
      <c r="BE33" s="485"/>
      <c r="BF33" s="477"/>
      <c r="BG33" s="485"/>
      <c r="BH33" s="477"/>
      <c r="BI33" s="485"/>
      <c r="BJ33" s="477"/>
      <c r="BK33" s="485"/>
    </row>
    <row r="34" spans="1:63" ht="25.5" customHeight="1">
      <c r="A34" s="457">
        <v>28</v>
      </c>
      <c r="B34" s="463">
        <f>'資料1.参加者及び面積'!F30</f>
        <v>0</v>
      </c>
      <c r="C34" s="470">
        <f t="shared" si="0"/>
        <v>0</v>
      </c>
      <c r="D34" s="477"/>
      <c r="E34" s="485"/>
      <c r="F34" s="477"/>
      <c r="G34" s="485"/>
      <c r="H34" s="477"/>
      <c r="I34" s="485"/>
      <c r="J34" s="477"/>
      <c r="K34" s="485"/>
      <c r="L34" s="477"/>
      <c r="M34" s="485"/>
      <c r="N34" s="477"/>
      <c r="O34" s="485"/>
      <c r="P34" s="477"/>
      <c r="Q34" s="485"/>
      <c r="R34" s="477"/>
      <c r="S34" s="485"/>
      <c r="T34" s="477"/>
      <c r="U34" s="485"/>
      <c r="V34" s="477"/>
      <c r="W34" s="485"/>
      <c r="X34" s="477"/>
      <c r="Y34" s="485"/>
      <c r="Z34" s="477"/>
      <c r="AA34" s="485"/>
      <c r="AB34" s="477"/>
      <c r="AC34" s="485"/>
      <c r="AD34" s="477"/>
      <c r="AE34" s="485"/>
      <c r="AF34" s="477"/>
      <c r="AG34" s="485"/>
      <c r="AH34" s="477"/>
      <c r="AI34" s="485"/>
      <c r="AJ34" s="477"/>
      <c r="AK34" s="485"/>
      <c r="AL34" s="477"/>
      <c r="AM34" s="485"/>
      <c r="AN34" s="477"/>
      <c r="AO34" s="485"/>
      <c r="AP34" s="477"/>
      <c r="AQ34" s="485"/>
      <c r="AR34" s="477"/>
      <c r="AS34" s="485"/>
      <c r="AT34" s="477"/>
      <c r="AU34" s="485"/>
      <c r="AV34" s="477"/>
      <c r="AW34" s="485"/>
      <c r="AX34" s="477"/>
      <c r="AY34" s="485"/>
      <c r="AZ34" s="477"/>
      <c r="BA34" s="485"/>
      <c r="BB34" s="477"/>
      <c r="BC34" s="485"/>
      <c r="BD34" s="477"/>
      <c r="BE34" s="485"/>
      <c r="BF34" s="477"/>
      <c r="BG34" s="485"/>
      <c r="BH34" s="477"/>
      <c r="BI34" s="485"/>
      <c r="BJ34" s="477"/>
      <c r="BK34" s="485"/>
    </row>
    <row r="35" spans="1:63" ht="25.5" customHeight="1">
      <c r="A35" s="457">
        <v>29</v>
      </c>
      <c r="B35" s="463">
        <f>'資料1.参加者及び面積'!F31</f>
        <v>0</v>
      </c>
      <c r="C35" s="470">
        <f t="shared" si="0"/>
        <v>0</v>
      </c>
      <c r="D35" s="477"/>
      <c r="E35" s="485"/>
      <c r="F35" s="477"/>
      <c r="G35" s="485"/>
      <c r="H35" s="477"/>
      <c r="I35" s="485"/>
      <c r="J35" s="477"/>
      <c r="K35" s="485"/>
      <c r="L35" s="477"/>
      <c r="M35" s="485"/>
      <c r="N35" s="477"/>
      <c r="O35" s="485"/>
      <c r="P35" s="477"/>
      <c r="Q35" s="485"/>
      <c r="R35" s="477"/>
      <c r="S35" s="485"/>
      <c r="T35" s="477"/>
      <c r="U35" s="485"/>
      <c r="V35" s="477"/>
      <c r="W35" s="485"/>
      <c r="X35" s="477"/>
      <c r="Y35" s="485"/>
      <c r="Z35" s="477"/>
      <c r="AA35" s="485"/>
      <c r="AB35" s="477"/>
      <c r="AC35" s="485"/>
      <c r="AD35" s="477"/>
      <c r="AE35" s="485"/>
      <c r="AF35" s="477"/>
      <c r="AG35" s="485"/>
      <c r="AH35" s="477"/>
      <c r="AI35" s="485"/>
      <c r="AJ35" s="477"/>
      <c r="AK35" s="485"/>
      <c r="AL35" s="477"/>
      <c r="AM35" s="485"/>
      <c r="AN35" s="477"/>
      <c r="AO35" s="485"/>
      <c r="AP35" s="477"/>
      <c r="AQ35" s="485"/>
      <c r="AR35" s="477"/>
      <c r="AS35" s="485"/>
      <c r="AT35" s="477"/>
      <c r="AU35" s="485"/>
      <c r="AV35" s="477"/>
      <c r="AW35" s="485"/>
      <c r="AX35" s="477"/>
      <c r="AY35" s="485"/>
      <c r="AZ35" s="477"/>
      <c r="BA35" s="485"/>
      <c r="BB35" s="477"/>
      <c r="BC35" s="485"/>
      <c r="BD35" s="477"/>
      <c r="BE35" s="485"/>
      <c r="BF35" s="477"/>
      <c r="BG35" s="485"/>
      <c r="BH35" s="477"/>
      <c r="BI35" s="485"/>
      <c r="BJ35" s="477"/>
      <c r="BK35" s="485"/>
    </row>
    <row r="36" spans="1:63" ht="25.5" customHeight="1">
      <c r="A36" s="458">
        <v>30</v>
      </c>
      <c r="B36" s="464">
        <f>'資料1.参加者及び面積'!F32</f>
        <v>0</v>
      </c>
      <c r="C36" s="471">
        <f t="shared" si="0"/>
        <v>0</v>
      </c>
      <c r="D36" s="478"/>
      <c r="E36" s="486"/>
      <c r="F36" s="488"/>
      <c r="G36" s="489"/>
      <c r="H36" s="488"/>
      <c r="I36" s="489"/>
      <c r="J36" s="488"/>
      <c r="K36" s="489"/>
      <c r="L36" s="488"/>
      <c r="M36" s="489"/>
      <c r="N36" s="488"/>
      <c r="O36" s="489"/>
      <c r="P36" s="488"/>
      <c r="Q36" s="489"/>
      <c r="R36" s="488"/>
      <c r="S36" s="489"/>
      <c r="T36" s="488"/>
      <c r="U36" s="489"/>
      <c r="V36" s="488"/>
      <c r="W36" s="489"/>
      <c r="X36" s="488"/>
      <c r="Y36" s="489"/>
      <c r="Z36" s="488"/>
      <c r="AA36" s="489"/>
      <c r="AB36" s="488"/>
      <c r="AC36" s="489"/>
      <c r="AD36" s="488"/>
      <c r="AE36" s="489"/>
      <c r="AF36" s="488"/>
      <c r="AG36" s="489"/>
      <c r="AH36" s="488"/>
      <c r="AI36" s="489"/>
      <c r="AJ36" s="488"/>
      <c r="AK36" s="489"/>
      <c r="AL36" s="488"/>
      <c r="AM36" s="489"/>
      <c r="AN36" s="488"/>
      <c r="AO36" s="489"/>
      <c r="AP36" s="488"/>
      <c r="AQ36" s="489"/>
      <c r="AR36" s="488"/>
      <c r="AS36" s="489"/>
      <c r="AT36" s="488"/>
      <c r="AU36" s="489"/>
      <c r="AV36" s="488"/>
      <c r="AW36" s="489"/>
      <c r="AX36" s="488"/>
      <c r="AY36" s="489"/>
      <c r="AZ36" s="488"/>
      <c r="BA36" s="489"/>
      <c r="BB36" s="488"/>
      <c r="BC36" s="489"/>
      <c r="BD36" s="488"/>
      <c r="BE36" s="489"/>
      <c r="BF36" s="488"/>
      <c r="BG36" s="489"/>
      <c r="BH36" s="488"/>
      <c r="BI36" s="489"/>
      <c r="BJ36" s="488"/>
      <c r="BK36" s="489"/>
    </row>
    <row r="37" spans="1:63">
      <c r="E37" s="487"/>
      <c r="F37" s="487"/>
      <c r="G37" s="487"/>
      <c r="H37" s="487"/>
      <c r="I37" s="487"/>
      <c r="J37" s="487"/>
      <c r="K37" s="487"/>
    </row>
  </sheetData>
  <mergeCells count="933">
    <mergeCell ref="D6:E6"/>
    <mergeCell ref="F6:G6"/>
    <mergeCell ref="H6:I6"/>
    <mergeCell ref="J6:K6"/>
    <mergeCell ref="L6:M6"/>
    <mergeCell ref="N6:O6"/>
    <mergeCell ref="P6:Q6"/>
    <mergeCell ref="R6:S6"/>
    <mergeCell ref="T6:U6"/>
    <mergeCell ref="V6:W6"/>
    <mergeCell ref="X6:Y6"/>
    <mergeCell ref="Z6:AA6"/>
    <mergeCell ref="AB6:AC6"/>
    <mergeCell ref="AD6:AE6"/>
    <mergeCell ref="AF6:AG6"/>
    <mergeCell ref="AH6:AI6"/>
    <mergeCell ref="AJ6:AK6"/>
    <mergeCell ref="AL6:AM6"/>
    <mergeCell ref="AN6:AO6"/>
    <mergeCell ref="AP6:AQ6"/>
    <mergeCell ref="AR6:AS6"/>
    <mergeCell ref="AT6:AU6"/>
    <mergeCell ref="AV6:AW6"/>
    <mergeCell ref="AX6:AY6"/>
    <mergeCell ref="AZ6:BA6"/>
    <mergeCell ref="BB6:BC6"/>
    <mergeCell ref="BD6:BE6"/>
    <mergeCell ref="BF6:BG6"/>
    <mergeCell ref="BH6:BI6"/>
    <mergeCell ref="BJ6:BK6"/>
    <mergeCell ref="D7:E7"/>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AV7:AW7"/>
    <mergeCell ref="AX7:AY7"/>
    <mergeCell ref="AZ7:BA7"/>
    <mergeCell ref="BB7:BC7"/>
    <mergeCell ref="BD7:BE7"/>
    <mergeCell ref="BF7:BG7"/>
    <mergeCell ref="BH7:BI7"/>
    <mergeCell ref="BJ7:BK7"/>
    <mergeCell ref="D8:E8"/>
    <mergeCell ref="F8:G8"/>
    <mergeCell ref="H8:I8"/>
    <mergeCell ref="J8:K8"/>
    <mergeCell ref="L8:M8"/>
    <mergeCell ref="N8:O8"/>
    <mergeCell ref="P8:Q8"/>
    <mergeCell ref="R8:S8"/>
    <mergeCell ref="T8:U8"/>
    <mergeCell ref="V8:W8"/>
    <mergeCell ref="X8:Y8"/>
    <mergeCell ref="Z8:AA8"/>
    <mergeCell ref="AB8:AC8"/>
    <mergeCell ref="AD8:AE8"/>
    <mergeCell ref="AF8:AG8"/>
    <mergeCell ref="AH8:AI8"/>
    <mergeCell ref="AJ8:AK8"/>
    <mergeCell ref="AL8:AM8"/>
    <mergeCell ref="AN8:AO8"/>
    <mergeCell ref="AP8:AQ8"/>
    <mergeCell ref="AR8:AS8"/>
    <mergeCell ref="AT8:AU8"/>
    <mergeCell ref="AV8:AW8"/>
    <mergeCell ref="AX8:AY8"/>
    <mergeCell ref="AZ8:BA8"/>
    <mergeCell ref="BB8:BC8"/>
    <mergeCell ref="BD8:BE8"/>
    <mergeCell ref="BF8:BG8"/>
    <mergeCell ref="BH8:BI8"/>
    <mergeCell ref="BJ8:BK8"/>
    <mergeCell ref="D9:E9"/>
    <mergeCell ref="F9:G9"/>
    <mergeCell ref="H9:I9"/>
    <mergeCell ref="J9:K9"/>
    <mergeCell ref="L9:M9"/>
    <mergeCell ref="N9:O9"/>
    <mergeCell ref="P9:Q9"/>
    <mergeCell ref="R9:S9"/>
    <mergeCell ref="T9:U9"/>
    <mergeCell ref="V9:W9"/>
    <mergeCell ref="X9:Y9"/>
    <mergeCell ref="Z9:AA9"/>
    <mergeCell ref="AB9:AC9"/>
    <mergeCell ref="AD9:AE9"/>
    <mergeCell ref="AF9:AG9"/>
    <mergeCell ref="AH9:AI9"/>
    <mergeCell ref="AJ9:AK9"/>
    <mergeCell ref="AL9:AM9"/>
    <mergeCell ref="AN9:AO9"/>
    <mergeCell ref="AP9:AQ9"/>
    <mergeCell ref="AR9:AS9"/>
    <mergeCell ref="AT9:AU9"/>
    <mergeCell ref="AV9:AW9"/>
    <mergeCell ref="AX9:AY9"/>
    <mergeCell ref="AZ9:BA9"/>
    <mergeCell ref="BB9:BC9"/>
    <mergeCell ref="BD9:BE9"/>
    <mergeCell ref="BF9:BG9"/>
    <mergeCell ref="BH9:BI9"/>
    <mergeCell ref="BJ9:BK9"/>
    <mergeCell ref="D10:E10"/>
    <mergeCell ref="F10:G10"/>
    <mergeCell ref="H10:I10"/>
    <mergeCell ref="J10:K10"/>
    <mergeCell ref="L10:M10"/>
    <mergeCell ref="N10:O10"/>
    <mergeCell ref="P10:Q10"/>
    <mergeCell ref="R10:S10"/>
    <mergeCell ref="T10:U10"/>
    <mergeCell ref="V10:W10"/>
    <mergeCell ref="X10:Y10"/>
    <mergeCell ref="Z10:AA10"/>
    <mergeCell ref="AB10:AC10"/>
    <mergeCell ref="AD10:AE10"/>
    <mergeCell ref="AF10:AG10"/>
    <mergeCell ref="AH10:AI10"/>
    <mergeCell ref="AJ10:AK10"/>
    <mergeCell ref="AL10:AM10"/>
    <mergeCell ref="AN10:AO10"/>
    <mergeCell ref="AP10:AQ10"/>
    <mergeCell ref="AR10:AS10"/>
    <mergeCell ref="AT10:AU10"/>
    <mergeCell ref="AV10:AW10"/>
    <mergeCell ref="AX10:AY10"/>
    <mergeCell ref="AZ10:BA10"/>
    <mergeCell ref="BB10:BC10"/>
    <mergeCell ref="BD10:BE10"/>
    <mergeCell ref="BF10:BG10"/>
    <mergeCell ref="BH10:BI10"/>
    <mergeCell ref="BJ10:BK10"/>
    <mergeCell ref="D11:E11"/>
    <mergeCell ref="F11:G11"/>
    <mergeCell ref="H11:I11"/>
    <mergeCell ref="J11:K11"/>
    <mergeCell ref="L11:M11"/>
    <mergeCell ref="N11:O11"/>
    <mergeCell ref="P11:Q11"/>
    <mergeCell ref="R11:S11"/>
    <mergeCell ref="T11:U11"/>
    <mergeCell ref="V11:W11"/>
    <mergeCell ref="X11:Y11"/>
    <mergeCell ref="Z11:AA11"/>
    <mergeCell ref="AB11:AC11"/>
    <mergeCell ref="AD11:AE11"/>
    <mergeCell ref="AF11:AG11"/>
    <mergeCell ref="AH11:AI11"/>
    <mergeCell ref="AJ11:AK11"/>
    <mergeCell ref="AL11:AM11"/>
    <mergeCell ref="AN11:AO11"/>
    <mergeCell ref="AP11:AQ11"/>
    <mergeCell ref="AR11:AS11"/>
    <mergeCell ref="AT11:AU11"/>
    <mergeCell ref="AV11:AW11"/>
    <mergeCell ref="AX11:AY11"/>
    <mergeCell ref="AZ11:BA11"/>
    <mergeCell ref="BB11:BC11"/>
    <mergeCell ref="BD11:BE11"/>
    <mergeCell ref="BF11:BG11"/>
    <mergeCell ref="BH11:BI11"/>
    <mergeCell ref="BJ11:BK11"/>
    <mergeCell ref="D12:E12"/>
    <mergeCell ref="F12:G12"/>
    <mergeCell ref="H12:I12"/>
    <mergeCell ref="J12:K12"/>
    <mergeCell ref="L12:M12"/>
    <mergeCell ref="N12:O12"/>
    <mergeCell ref="P12:Q12"/>
    <mergeCell ref="R12:S12"/>
    <mergeCell ref="T12:U12"/>
    <mergeCell ref="V12:W12"/>
    <mergeCell ref="X12:Y12"/>
    <mergeCell ref="Z12:AA12"/>
    <mergeCell ref="AB12:AC12"/>
    <mergeCell ref="AD12:AE12"/>
    <mergeCell ref="AF12:AG12"/>
    <mergeCell ref="AH12:AI12"/>
    <mergeCell ref="AJ12:AK12"/>
    <mergeCell ref="AL12:AM12"/>
    <mergeCell ref="AN12:AO12"/>
    <mergeCell ref="AP12:AQ12"/>
    <mergeCell ref="AR12:AS12"/>
    <mergeCell ref="AT12:AU12"/>
    <mergeCell ref="AV12:AW12"/>
    <mergeCell ref="AX12:AY12"/>
    <mergeCell ref="AZ12:BA12"/>
    <mergeCell ref="BB12:BC12"/>
    <mergeCell ref="BD12:BE12"/>
    <mergeCell ref="BF12:BG12"/>
    <mergeCell ref="BH12:BI12"/>
    <mergeCell ref="BJ12:BK12"/>
    <mergeCell ref="D13:E13"/>
    <mergeCell ref="F13:G13"/>
    <mergeCell ref="H13:I13"/>
    <mergeCell ref="J13:K13"/>
    <mergeCell ref="L13:M13"/>
    <mergeCell ref="N13:O13"/>
    <mergeCell ref="P13:Q13"/>
    <mergeCell ref="R13:S13"/>
    <mergeCell ref="T13:U13"/>
    <mergeCell ref="V13:W13"/>
    <mergeCell ref="X13:Y13"/>
    <mergeCell ref="Z13:AA13"/>
    <mergeCell ref="AB13:AC13"/>
    <mergeCell ref="AD13:AE13"/>
    <mergeCell ref="AF13:AG13"/>
    <mergeCell ref="AH13:AI13"/>
    <mergeCell ref="AJ13:AK13"/>
    <mergeCell ref="AL13:AM13"/>
    <mergeCell ref="AN13:AO13"/>
    <mergeCell ref="AP13:AQ13"/>
    <mergeCell ref="AR13:AS13"/>
    <mergeCell ref="AT13:AU13"/>
    <mergeCell ref="AV13:AW13"/>
    <mergeCell ref="AX13:AY13"/>
    <mergeCell ref="AZ13:BA13"/>
    <mergeCell ref="BB13:BC13"/>
    <mergeCell ref="BD13:BE13"/>
    <mergeCell ref="BF13:BG13"/>
    <mergeCell ref="BH13:BI13"/>
    <mergeCell ref="BJ13:BK13"/>
    <mergeCell ref="D14:E14"/>
    <mergeCell ref="F14:G14"/>
    <mergeCell ref="H14:I14"/>
    <mergeCell ref="J14:K14"/>
    <mergeCell ref="L14:M14"/>
    <mergeCell ref="N14:O14"/>
    <mergeCell ref="P14:Q14"/>
    <mergeCell ref="R14:S14"/>
    <mergeCell ref="T14:U14"/>
    <mergeCell ref="V14:W14"/>
    <mergeCell ref="X14:Y14"/>
    <mergeCell ref="Z14:AA14"/>
    <mergeCell ref="AB14:AC14"/>
    <mergeCell ref="AD14:AE14"/>
    <mergeCell ref="AF14:AG14"/>
    <mergeCell ref="AH14:AI14"/>
    <mergeCell ref="AJ14:AK14"/>
    <mergeCell ref="AL14:AM14"/>
    <mergeCell ref="AN14:AO14"/>
    <mergeCell ref="AP14:AQ14"/>
    <mergeCell ref="AR14:AS14"/>
    <mergeCell ref="AT14:AU14"/>
    <mergeCell ref="AV14:AW14"/>
    <mergeCell ref="AX14:AY14"/>
    <mergeCell ref="AZ14:BA14"/>
    <mergeCell ref="BB14:BC14"/>
    <mergeCell ref="BD14:BE14"/>
    <mergeCell ref="BF14:BG14"/>
    <mergeCell ref="BH14:BI14"/>
    <mergeCell ref="BJ14:BK14"/>
    <mergeCell ref="D15:E15"/>
    <mergeCell ref="F15:G15"/>
    <mergeCell ref="H15:I15"/>
    <mergeCell ref="J15:K15"/>
    <mergeCell ref="L15:M15"/>
    <mergeCell ref="N15:O15"/>
    <mergeCell ref="P15:Q15"/>
    <mergeCell ref="R15:S15"/>
    <mergeCell ref="T15:U15"/>
    <mergeCell ref="V15:W15"/>
    <mergeCell ref="X15:Y15"/>
    <mergeCell ref="Z15:AA15"/>
    <mergeCell ref="AB15:AC15"/>
    <mergeCell ref="AD15:AE15"/>
    <mergeCell ref="AF15:AG15"/>
    <mergeCell ref="AH15:AI15"/>
    <mergeCell ref="AJ15:AK15"/>
    <mergeCell ref="AL15:AM15"/>
    <mergeCell ref="AN15:AO15"/>
    <mergeCell ref="AP15:AQ15"/>
    <mergeCell ref="AR15:AS15"/>
    <mergeCell ref="AT15:AU15"/>
    <mergeCell ref="AV15:AW15"/>
    <mergeCell ref="AX15:AY15"/>
    <mergeCell ref="AZ15:BA15"/>
    <mergeCell ref="BB15:BC15"/>
    <mergeCell ref="BD15:BE15"/>
    <mergeCell ref="BF15:BG15"/>
    <mergeCell ref="BH15:BI15"/>
    <mergeCell ref="BJ15:BK15"/>
    <mergeCell ref="D16:E16"/>
    <mergeCell ref="F16:G16"/>
    <mergeCell ref="H16:I16"/>
    <mergeCell ref="J16:K16"/>
    <mergeCell ref="L16:M16"/>
    <mergeCell ref="N16:O16"/>
    <mergeCell ref="P16:Q16"/>
    <mergeCell ref="R16:S16"/>
    <mergeCell ref="T16:U16"/>
    <mergeCell ref="V16:W16"/>
    <mergeCell ref="X16:Y16"/>
    <mergeCell ref="Z16:AA16"/>
    <mergeCell ref="AB16:AC16"/>
    <mergeCell ref="AD16:AE16"/>
    <mergeCell ref="AF16:AG16"/>
    <mergeCell ref="AH16:AI16"/>
    <mergeCell ref="AJ16:AK16"/>
    <mergeCell ref="AL16:AM16"/>
    <mergeCell ref="AN16:AO16"/>
    <mergeCell ref="AP16:AQ16"/>
    <mergeCell ref="AR16:AS16"/>
    <mergeCell ref="AT16:AU16"/>
    <mergeCell ref="AV16:AW16"/>
    <mergeCell ref="AX16:AY16"/>
    <mergeCell ref="AZ16:BA16"/>
    <mergeCell ref="BB16:BC16"/>
    <mergeCell ref="BD16:BE16"/>
    <mergeCell ref="BF16:BG16"/>
    <mergeCell ref="BH16:BI16"/>
    <mergeCell ref="BJ16:BK16"/>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AJ17:AK17"/>
    <mergeCell ref="AL17:AM17"/>
    <mergeCell ref="AN17:AO17"/>
    <mergeCell ref="AP17:AQ17"/>
    <mergeCell ref="AR17:AS17"/>
    <mergeCell ref="AT17:AU17"/>
    <mergeCell ref="AV17:AW17"/>
    <mergeCell ref="AX17:AY17"/>
    <mergeCell ref="AZ17:BA17"/>
    <mergeCell ref="BB17:BC17"/>
    <mergeCell ref="BD17:BE17"/>
    <mergeCell ref="BF17:BG17"/>
    <mergeCell ref="BH17:BI17"/>
    <mergeCell ref="BJ17:BK17"/>
    <mergeCell ref="D18:E18"/>
    <mergeCell ref="F18:G18"/>
    <mergeCell ref="H18:I18"/>
    <mergeCell ref="J18:K18"/>
    <mergeCell ref="L18:M18"/>
    <mergeCell ref="N18:O18"/>
    <mergeCell ref="P18:Q18"/>
    <mergeCell ref="R18:S18"/>
    <mergeCell ref="T18:U18"/>
    <mergeCell ref="V18:W18"/>
    <mergeCell ref="X18:Y18"/>
    <mergeCell ref="Z18:AA18"/>
    <mergeCell ref="AB18:AC18"/>
    <mergeCell ref="AD18:AE18"/>
    <mergeCell ref="AF18:AG18"/>
    <mergeCell ref="AH18:AI18"/>
    <mergeCell ref="AJ18:AK18"/>
    <mergeCell ref="AL18:AM18"/>
    <mergeCell ref="AN18:AO18"/>
    <mergeCell ref="AP18:AQ18"/>
    <mergeCell ref="AR18:AS18"/>
    <mergeCell ref="AT18:AU18"/>
    <mergeCell ref="AV18:AW18"/>
    <mergeCell ref="AX18:AY18"/>
    <mergeCell ref="AZ18:BA18"/>
    <mergeCell ref="BB18:BC18"/>
    <mergeCell ref="BD18:BE18"/>
    <mergeCell ref="BF18:BG18"/>
    <mergeCell ref="BH18:BI18"/>
    <mergeCell ref="BJ18:BK18"/>
    <mergeCell ref="D19:E19"/>
    <mergeCell ref="F19:G19"/>
    <mergeCell ref="H19:I19"/>
    <mergeCell ref="J19:K19"/>
    <mergeCell ref="L19:M19"/>
    <mergeCell ref="N19:O19"/>
    <mergeCell ref="P19:Q19"/>
    <mergeCell ref="R19:S19"/>
    <mergeCell ref="T19:U19"/>
    <mergeCell ref="V19:W19"/>
    <mergeCell ref="X19:Y19"/>
    <mergeCell ref="Z19:AA19"/>
    <mergeCell ref="AB19:AC19"/>
    <mergeCell ref="AD19:AE19"/>
    <mergeCell ref="AF19:AG19"/>
    <mergeCell ref="AH19:AI19"/>
    <mergeCell ref="AJ19:AK19"/>
    <mergeCell ref="AL19:AM19"/>
    <mergeCell ref="AN19:AO19"/>
    <mergeCell ref="AP19:AQ19"/>
    <mergeCell ref="AR19:AS19"/>
    <mergeCell ref="AT19:AU19"/>
    <mergeCell ref="AV19:AW19"/>
    <mergeCell ref="AX19:AY19"/>
    <mergeCell ref="AZ19:BA19"/>
    <mergeCell ref="BB19:BC19"/>
    <mergeCell ref="BD19:BE19"/>
    <mergeCell ref="BF19:BG19"/>
    <mergeCell ref="BH19:BI19"/>
    <mergeCell ref="BJ19:BK19"/>
    <mergeCell ref="D20:E20"/>
    <mergeCell ref="F20:G20"/>
    <mergeCell ref="H20:I20"/>
    <mergeCell ref="J20:K20"/>
    <mergeCell ref="L20:M20"/>
    <mergeCell ref="N20:O20"/>
    <mergeCell ref="P20:Q20"/>
    <mergeCell ref="R20:S20"/>
    <mergeCell ref="T20:U20"/>
    <mergeCell ref="V20:W20"/>
    <mergeCell ref="X20:Y20"/>
    <mergeCell ref="Z20:AA20"/>
    <mergeCell ref="AB20:AC20"/>
    <mergeCell ref="AD20:AE20"/>
    <mergeCell ref="AF20:AG20"/>
    <mergeCell ref="AH20:AI20"/>
    <mergeCell ref="AJ20:AK20"/>
    <mergeCell ref="AL20:AM20"/>
    <mergeCell ref="AN20:AO20"/>
    <mergeCell ref="AP20:AQ20"/>
    <mergeCell ref="AR20:AS20"/>
    <mergeCell ref="AT20:AU20"/>
    <mergeCell ref="AV20:AW20"/>
    <mergeCell ref="AX20:AY20"/>
    <mergeCell ref="AZ20:BA20"/>
    <mergeCell ref="BB20:BC20"/>
    <mergeCell ref="BD20:BE20"/>
    <mergeCell ref="BF20:BG20"/>
    <mergeCell ref="BH20:BI20"/>
    <mergeCell ref="BJ20:BK20"/>
    <mergeCell ref="D21:E21"/>
    <mergeCell ref="F21:G21"/>
    <mergeCell ref="H21:I21"/>
    <mergeCell ref="J21:K21"/>
    <mergeCell ref="L21:M21"/>
    <mergeCell ref="N21:O21"/>
    <mergeCell ref="P21:Q21"/>
    <mergeCell ref="R21:S21"/>
    <mergeCell ref="T21:U21"/>
    <mergeCell ref="V21:W21"/>
    <mergeCell ref="X21:Y21"/>
    <mergeCell ref="Z21:AA21"/>
    <mergeCell ref="AB21:AC21"/>
    <mergeCell ref="AD21:AE21"/>
    <mergeCell ref="AF21:AG21"/>
    <mergeCell ref="AH21:AI21"/>
    <mergeCell ref="AJ21:AK21"/>
    <mergeCell ref="AL21:AM21"/>
    <mergeCell ref="AN21:AO21"/>
    <mergeCell ref="AP21:AQ21"/>
    <mergeCell ref="AR21:AS21"/>
    <mergeCell ref="AT21:AU21"/>
    <mergeCell ref="AV21:AW21"/>
    <mergeCell ref="AX21:AY21"/>
    <mergeCell ref="AZ21:BA21"/>
    <mergeCell ref="BB21:BC21"/>
    <mergeCell ref="BD21:BE21"/>
    <mergeCell ref="BF21:BG21"/>
    <mergeCell ref="BH21:BI21"/>
    <mergeCell ref="BJ21:BK21"/>
    <mergeCell ref="D22:E22"/>
    <mergeCell ref="F22:G22"/>
    <mergeCell ref="H22:I22"/>
    <mergeCell ref="J22:K22"/>
    <mergeCell ref="L22:M22"/>
    <mergeCell ref="N22:O22"/>
    <mergeCell ref="P22:Q22"/>
    <mergeCell ref="R22:S22"/>
    <mergeCell ref="T22:U22"/>
    <mergeCell ref="V22:W22"/>
    <mergeCell ref="X22:Y22"/>
    <mergeCell ref="Z22:AA22"/>
    <mergeCell ref="AB22:AC22"/>
    <mergeCell ref="AD22:AE22"/>
    <mergeCell ref="AF22:AG22"/>
    <mergeCell ref="AH22:AI22"/>
    <mergeCell ref="AJ22:AK22"/>
    <mergeCell ref="AL22:AM22"/>
    <mergeCell ref="AN22:AO22"/>
    <mergeCell ref="AP22:AQ22"/>
    <mergeCell ref="AR22:AS22"/>
    <mergeCell ref="AT22:AU22"/>
    <mergeCell ref="AV22:AW22"/>
    <mergeCell ref="AX22:AY22"/>
    <mergeCell ref="AZ22:BA22"/>
    <mergeCell ref="BB22:BC22"/>
    <mergeCell ref="BD22:BE22"/>
    <mergeCell ref="BF22:BG22"/>
    <mergeCell ref="BH22:BI22"/>
    <mergeCell ref="BJ22:BK22"/>
    <mergeCell ref="D23:E23"/>
    <mergeCell ref="F23:G23"/>
    <mergeCell ref="H23:I23"/>
    <mergeCell ref="J23:K23"/>
    <mergeCell ref="L23:M23"/>
    <mergeCell ref="N23:O23"/>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AT23:AU23"/>
    <mergeCell ref="AV23:AW23"/>
    <mergeCell ref="AX23:AY23"/>
    <mergeCell ref="AZ23:BA23"/>
    <mergeCell ref="BB23:BC23"/>
    <mergeCell ref="BD23:BE23"/>
    <mergeCell ref="BF23:BG23"/>
    <mergeCell ref="BH23:BI23"/>
    <mergeCell ref="BJ23:BK23"/>
    <mergeCell ref="D24:E24"/>
    <mergeCell ref="F24:G24"/>
    <mergeCell ref="H24:I24"/>
    <mergeCell ref="J24:K24"/>
    <mergeCell ref="L24:M24"/>
    <mergeCell ref="N24:O24"/>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AR24:AS24"/>
    <mergeCell ref="AT24:AU24"/>
    <mergeCell ref="AV24:AW24"/>
    <mergeCell ref="AX24:AY24"/>
    <mergeCell ref="AZ24:BA24"/>
    <mergeCell ref="BB24:BC24"/>
    <mergeCell ref="BD24:BE24"/>
    <mergeCell ref="BF24:BG24"/>
    <mergeCell ref="BH24:BI24"/>
    <mergeCell ref="BJ24:BK24"/>
    <mergeCell ref="D25:E25"/>
    <mergeCell ref="F25:G25"/>
    <mergeCell ref="H25:I25"/>
    <mergeCell ref="J25:K25"/>
    <mergeCell ref="L25:M25"/>
    <mergeCell ref="N25:O25"/>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AP25:AQ25"/>
    <mergeCell ref="AR25:AS25"/>
    <mergeCell ref="AT25:AU25"/>
    <mergeCell ref="AV25:AW25"/>
    <mergeCell ref="AX25:AY25"/>
    <mergeCell ref="AZ25:BA25"/>
    <mergeCell ref="BB25:BC25"/>
    <mergeCell ref="BD25:BE25"/>
    <mergeCell ref="BF25:BG25"/>
    <mergeCell ref="BH25:BI25"/>
    <mergeCell ref="BJ25:BK25"/>
    <mergeCell ref="D26:E26"/>
    <mergeCell ref="F26:G26"/>
    <mergeCell ref="H26:I26"/>
    <mergeCell ref="J26:K26"/>
    <mergeCell ref="L26:M26"/>
    <mergeCell ref="N26:O26"/>
    <mergeCell ref="P26:Q26"/>
    <mergeCell ref="R26:S26"/>
    <mergeCell ref="T26:U26"/>
    <mergeCell ref="V26:W26"/>
    <mergeCell ref="X26:Y26"/>
    <mergeCell ref="Z26:AA26"/>
    <mergeCell ref="AB26:AC26"/>
    <mergeCell ref="AD26:AE26"/>
    <mergeCell ref="AF26:AG26"/>
    <mergeCell ref="AH26:AI26"/>
    <mergeCell ref="AJ26:AK26"/>
    <mergeCell ref="AL26:AM26"/>
    <mergeCell ref="AN26:AO26"/>
    <mergeCell ref="AP26:AQ26"/>
    <mergeCell ref="AR26:AS26"/>
    <mergeCell ref="AT26:AU26"/>
    <mergeCell ref="AV26:AW26"/>
    <mergeCell ref="AX26:AY26"/>
    <mergeCell ref="AZ26:BA26"/>
    <mergeCell ref="BB26:BC26"/>
    <mergeCell ref="BD26:BE26"/>
    <mergeCell ref="BF26:BG26"/>
    <mergeCell ref="BH26:BI26"/>
    <mergeCell ref="BJ26:BK26"/>
    <mergeCell ref="D27:E27"/>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H27:AI27"/>
    <mergeCell ref="AJ27:AK27"/>
    <mergeCell ref="AL27:AM27"/>
    <mergeCell ref="AN27:AO27"/>
    <mergeCell ref="AP27:AQ27"/>
    <mergeCell ref="AR27:AS27"/>
    <mergeCell ref="AT27:AU27"/>
    <mergeCell ref="AV27:AW27"/>
    <mergeCell ref="AX27:AY27"/>
    <mergeCell ref="AZ27:BA27"/>
    <mergeCell ref="BB27:BC27"/>
    <mergeCell ref="BD27:BE27"/>
    <mergeCell ref="BF27:BG27"/>
    <mergeCell ref="BH27:BI27"/>
    <mergeCell ref="BJ27:BK27"/>
    <mergeCell ref="D28:E28"/>
    <mergeCell ref="F28:G28"/>
    <mergeCell ref="H28:I28"/>
    <mergeCell ref="J28:K28"/>
    <mergeCell ref="L28:M28"/>
    <mergeCell ref="N28:O28"/>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AR28:AS28"/>
    <mergeCell ref="AT28:AU28"/>
    <mergeCell ref="AV28:AW28"/>
    <mergeCell ref="AX28:AY28"/>
    <mergeCell ref="AZ28:BA28"/>
    <mergeCell ref="BB28:BC28"/>
    <mergeCell ref="BD28:BE28"/>
    <mergeCell ref="BF28:BG28"/>
    <mergeCell ref="BH28:BI28"/>
    <mergeCell ref="BJ28:BK28"/>
    <mergeCell ref="D29:E29"/>
    <mergeCell ref="F29:G29"/>
    <mergeCell ref="H29:I29"/>
    <mergeCell ref="J29:K29"/>
    <mergeCell ref="L29:M29"/>
    <mergeCell ref="N29:O29"/>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AP29:AQ29"/>
    <mergeCell ref="AR29:AS29"/>
    <mergeCell ref="AT29:AU29"/>
    <mergeCell ref="AV29:AW29"/>
    <mergeCell ref="AX29:AY29"/>
    <mergeCell ref="AZ29:BA29"/>
    <mergeCell ref="BB29:BC29"/>
    <mergeCell ref="BD29:BE29"/>
    <mergeCell ref="BF29:BG29"/>
    <mergeCell ref="BH29:BI29"/>
    <mergeCell ref="BJ29:BK29"/>
    <mergeCell ref="D30:E30"/>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H30:AI30"/>
    <mergeCell ref="AJ30:AK30"/>
    <mergeCell ref="AL30:AM30"/>
    <mergeCell ref="AN30:AO30"/>
    <mergeCell ref="AP30:AQ30"/>
    <mergeCell ref="AR30:AS30"/>
    <mergeCell ref="AT30:AU30"/>
    <mergeCell ref="AV30:AW30"/>
    <mergeCell ref="AX30:AY30"/>
    <mergeCell ref="AZ30:BA30"/>
    <mergeCell ref="BB30:BC30"/>
    <mergeCell ref="BD30:BE30"/>
    <mergeCell ref="BF30:BG30"/>
    <mergeCell ref="BH30:BI30"/>
    <mergeCell ref="BJ30:BK30"/>
    <mergeCell ref="D31:E31"/>
    <mergeCell ref="F31:G31"/>
    <mergeCell ref="H31:I31"/>
    <mergeCell ref="J31:K31"/>
    <mergeCell ref="L31:M31"/>
    <mergeCell ref="N31:O31"/>
    <mergeCell ref="P31:Q31"/>
    <mergeCell ref="R31:S31"/>
    <mergeCell ref="T31:U31"/>
    <mergeCell ref="V31:W31"/>
    <mergeCell ref="X31:Y31"/>
    <mergeCell ref="Z31:AA31"/>
    <mergeCell ref="AB31:AC31"/>
    <mergeCell ref="AD31:AE31"/>
    <mergeCell ref="AF31:AG31"/>
    <mergeCell ref="AH31:AI31"/>
    <mergeCell ref="AJ31:AK31"/>
    <mergeCell ref="AL31:AM31"/>
    <mergeCell ref="AN31:AO31"/>
    <mergeCell ref="AP31:AQ31"/>
    <mergeCell ref="AR31:AS31"/>
    <mergeCell ref="AT31:AU31"/>
    <mergeCell ref="AV31:AW31"/>
    <mergeCell ref="AX31:AY31"/>
    <mergeCell ref="AZ31:BA31"/>
    <mergeCell ref="BB31:BC31"/>
    <mergeCell ref="BD31:BE31"/>
    <mergeCell ref="BF31:BG31"/>
    <mergeCell ref="BH31:BI31"/>
    <mergeCell ref="BJ31:BK31"/>
    <mergeCell ref="D32:E32"/>
    <mergeCell ref="F32:G32"/>
    <mergeCell ref="H32:I32"/>
    <mergeCell ref="J32:K32"/>
    <mergeCell ref="L32:M32"/>
    <mergeCell ref="N32:O32"/>
    <mergeCell ref="P32:Q32"/>
    <mergeCell ref="R32:S32"/>
    <mergeCell ref="T32:U32"/>
    <mergeCell ref="V32:W32"/>
    <mergeCell ref="X32:Y32"/>
    <mergeCell ref="Z32:AA32"/>
    <mergeCell ref="AB32:AC32"/>
    <mergeCell ref="AD32:AE32"/>
    <mergeCell ref="AF32:AG32"/>
    <mergeCell ref="AH32:AI32"/>
    <mergeCell ref="AJ32:AK32"/>
    <mergeCell ref="AL32:AM32"/>
    <mergeCell ref="AN32:AO32"/>
    <mergeCell ref="AP32:AQ32"/>
    <mergeCell ref="AR32:AS32"/>
    <mergeCell ref="AT32:AU32"/>
    <mergeCell ref="AV32:AW32"/>
    <mergeCell ref="AX32:AY32"/>
    <mergeCell ref="AZ32:BA32"/>
    <mergeCell ref="BB32:BC32"/>
    <mergeCell ref="BD32:BE32"/>
    <mergeCell ref="BF32:BG32"/>
    <mergeCell ref="BH32:BI32"/>
    <mergeCell ref="BJ32:BK32"/>
    <mergeCell ref="D33:E33"/>
    <mergeCell ref="F33:G33"/>
    <mergeCell ref="H33:I33"/>
    <mergeCell ref="J33:K33"/>
    <mergeCell ref="L33:M33"/>
    <mergeCell ref="N33:O33"/>
    <mergeCell ref="P33:Q33"/>
    <mergeCell ref="R33:S33"/>
    <mergeCell ref="T33:U33"/>
    <mergeCell ref="V33:W33"/>
    <mergeCell ref="X33:Y33"/>
    <mergeCell ref="Z33:AA33"/>
    <mergeCell ref="AB33:AC33"/>
    <mergeCell ref="AD33:AE33"/>
    <mergeCell ref="AF33:AG33"/>
    <mergeCell ref="AH33:AI33"/>
    <mergeCell ref="AJ33:AK33"/>
    <mergeCell ref="AL33:AM33"/>
    <mergeCell ref="AN33:AO33"/>
    <mergeCell ref="AP33:AQ33"/>
    <mergeCell ref="AR33:AS33"/>
    <mergeCell ref="AT33:AU33"/>
    <mergeCell ref="AV33:AW33"/>
    <mergeCell ref="AX33:AY33"/>
    <mergeCell ref="AZ33:BA33"/>
    <mergeCell ref="BB33:BC33"/>
    <mergeCell ref="BD33:BE33"/>
    <mergeCell ref="BF33:BG33"/>
    <mergeCell ref="BH33:BI33"/>
    <mergeCell ref="BJ33:BK33"/>
    <mergeCell ref="D34:E34"/>
    <mergeCell ref="F34:G34"/>
    <mergeCell ref="H34:I34"/>
    <mergeCell ref="J34:K34"/>
    <mergeCell ref="L34:M34"/>
    <mergeCell ref="N34:O34"/>
    <mergeCell ref="P34:Q34"/>
    <mergeCell ref="R34:S34"/>
    <mergeCell ref="T34:U34"/>
    <mergeCell ref="V34:W34"/>
    <mergeCell ref="X34:Y34"/>
    <mergeCell ref="Z34:AA34"/>
    <mergeCell ref="AB34:AC34"/>
    <mergeCell ref="AD34:AE34"/>
    <mergeCell ref="AF34:AG34"/>
    <mergeCell ref="AH34:AI34"/>
    <mergeCell ref="AJ34:AK34"/>
    <mergeCell ref="AL34:AM34"/>
    <mergeCell ref="AN34:AO34"/>
    <mergeCell ref="AP34:AQ34"/>
    <mergeCell ref="AR34:AS34"/>
    <mergeCell ref="AT34:AU34"/>
    <mergeCell ref="AV34:AW34"/>
    <mergeCell ref="AX34:AY34"/>
    <mergeCell ref="AZ34:BA34"/>
    <mergeCell ref="BB34:BC34"/>
    <mergeCell ref="BD34:BE34"/>
    <mergeCell ref="BF34:BG34"/>
    <mergeCell ref="BH34:BI34"/>
    <mergeCell ref="BJ34:BK34"/>
    <mergeCell ref="D35:E35"/>
    <mergeCell ref="F35:G35"/>
    <mergeCell ref="H35:I35"/>
    <mergeCell ref="J35:K35"/>
    <mergeCell ref="L35:M35"/>
    <mergeCell ref="N35:O35"/>
    <mergeCell ref="P35:Q35"/>
    <mergeCell ref="R35:S35"/>
    <mergeCell ref="T35:U35"/>
    <mergeCell ref="V35:W35"/>
    <mergeCell ref="X35:Y35"/>
    <mergeCell ref="Z35:AA35"/>
    <mergeCell ref="AB35:AC35"/>
    <mergeCell ref="AD35:AE35"/>
    <mergeCell ref="AF35:AG35"/>
    <mergeCell ref="AH35:AI35"/>
    <mergeCell ref="AJ35:AK35"/>
    <mergeCell ref="AL35:AM35"/>
    <mergeCell ref="AN35:AO35"/>
    <mergeCell ref="AP35:AQ35"/>
    <mergeCell ref="AR35:AS35"/>
    <mergeCell ref="AT35:AU35"/>
    <mergeCell ref="AV35:AW35"/>
    <mergeCell ref="AX35:AY35"/>
    <mergeCell ref="AZ35:BA35"/>
    <mergeCell ref="BB35:BC35"/>
    <mergeCell ref="BD35:BE35"/>
    <mergeCell ref="BF35:BG35"/>
    <mergeCell ref="BH35:BI35"/>
    <mergeCell ref="BJ35:BK35"/>
    <mergeCell ref="D36:E36"/>
    <mergeCell ref="F36:G36"/>
    <mergeCell ref="H36:I36"/>
    <mergeCell ref="J36:K36"/>
    <mergeCell ref="L36:M36"/>
    <mergeCell ref="N36:O36"/>
    <mergeCell ref="P36:Q36"/>
    <mergeCell ref="R36:S36"/>
    <mergeCell ref="T36:U36"/>
    <mergeCell ref="V36:W36"/>
    <mergeCell ref="X36:Y36"/>
    <mergeCell ref="Z36:AA36"/>
    <mergeCell ref="AB36:AC36"/>
    <mergeCell ref="AD36:AE36"/>
    <mergeCell ref="AF36:AG36"/>
    <mergeCell ref="AH36:AI36"/>
    <mergeCell ref="AJ36:AK36"/>
    <mergeCell ref="AL36:AM36"/>
    <mergeCell ref="AN36:AO36"/>
    <mergeCell ref="AP36:AQ36"/>
    <mergeCell ref="AR36:AS36"/>
    <mergeCell ref="AT36:AU36"/>
    <mergeCell ref="AV36:AW36"/>
    <mergeCell ref="AX36:AY36"/>
    <mergeCell ref="AZ36:BA36"/>
    <mergeCell ref="BB36:BC36"/>
    <mergeCell ref="BD36:BE36"/>
    <mergeCell ref="BF36:BG36"/>
    <mergeCell ref="BH36:BI36"/>
    <mergeCell ref="BJ36:BK36"/>
    <mergeCell ref="A3:A6"/>
    <mergeCell ref="B3:B6"/>
    <mergeCell ref="C3:C6"/>
  </mergeCells>
  <phoneticPr fontId="9"/>
  <pageMargins left="0.78740157480314965" right="0.59055118110236227" top="0.78740157480314965" bottom="0.59055118110236227" header="0.51181102362204722" footer="0.51181102362204722"/>
  <pageSetup paperSize="9" scale="54" fitToWidth="1" fitToHeight="0" orientation="landscape" usePrinterDefaults="1" r:id="rId1"/>
  <headerFooter alignWithMargins="0">
    <oddHeader>&amp;L資料３</oddHeader>
  </headerFooter>
  <colBreaks count="4" manualBreakCount="4">
    <brk id="15" max="1048575" man="1"/>
    <brk id="29" max="1048575" man="1"/>
    <brk id="43" max="1048575" man="1"/>
    <brk id="5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tabColor rgb="FFFF0000"/>
    <pageSetUpPr fitToPage="1"/>
  </sheetPr>
  <dimension ref="A2:BC91"/>
  <sheetViews>
    <sheetView view="pageBreakPreview" topLeftCell="F1" zoomScale="70" zoomScaleNormal="75" zoomScaleSheetLayoutView="70" workbookViewId="0">
      <selection activeCell="I19" sqref="I19:K19"/>
    </sheetView>
  </sheetViews>
  <sheetFormatPr defaultRowHeight="14.25"/>
  <cols>
    <col min="1" max="1" width="10" style="375" bestFit="1" customWidth="1"/>
    <col min="2" max="2" width="12.125" style="375" bestFit="1" customWidth="1"/>
    <col min="3" max="5" width="8" style="375" bestFit="1" customWidth="1"/>
    <col min="6" max="6" width="3.875" style="495" customWidth="1"/>
    <col min="7" max="7" width="20.75" style="495" customWidth="1"/>
    <col min="8" max="8" width="12.25" style="495" customWidth="1"/>
    <col min="9" max="9" width="14.75" style="495" customWidth="1"/>
    <col min="10" max="10" width="4" style="495" customWidth="1"/>
    <col min="11" max="11" width="11.5" style="495" customWidth="1"/>
    <col min="12" max="12" width="2.625" style="495" customWidth="1"/>
    <col min="13" max="13" width="6" style="495" customWidth="1"/>
    <col min="14" max="14" width="13" style="495" customWidth="1"/>
    <col min="15" max="15" width="3.375" style="495" customWidth="1"/>
    <col min="16" max="16" width="18.875" style="495" customWidth="1"/>
    <col min="17" max="17" width="3.375" style="495" customWidth="1"/>
    <col min="18" max="18" width="26.25" style="495" customWidth="1"/>
    <col min="19" max="19" width="10" style="495" customWidth="1"/>
    <col min="20" max="20" width="5.125" style="495" customWidth="1"/>
    <col min="21" max="21" width="10" style="495" customWidth="1"/>
    <col min="22" max="23" width="9" style="375" customWidth="1"/>
    <col min="24" max="24" width="17.625" style="375" customWidth="1"/>
    <col min="25" max="25" width="12.75" style="487" customWidth="1"/>
    <col min="26" max="26" width="12.125" style="487" customWidth="1"/>
    <col min="27" max="27" width="17" style="375" customWidth="1"/>
    <col min="28" max="28" width="15.5" style="375" customWidth="1"/>
    <col min="29" max="29" width="17" style="375" customWidth="1"/>
    <col min="30" max="30" width="15.5" style="375" customWidth="1"/>
    <col min="31" max="31" width="17" style="375" customWidth="1"/>
    <col min="32" max="32" width="15.5" style="375" customWidth="1"/>
    <col min="33" max="33" width="17" style="375" customWidth="1"/>
    <col min="34" max="34" width="15.5" style="375" customWidth="1"/>
    <col min="35" max="35" width="17" style="375" customWidth="1"/>
    <col min="36" max="36" width="15.5" style="375" customWidth="1"/>
    <col min="37" max="37" width="17" style="375" customWidth="1"/>
    <col min="38" max="38" width="15.5" style="375" customWidth="1"/>
    <col min="39" max="39" width="17" style="375" customWidth="1"/>
    <col min="40" max="40" width="15.5" style="375" customWidth="1"/>
    <col min="41" max="41" width="17" style="375" customWidth="1"/>
    <col min="42" max="42" width="15.5" style="375" customWidth="1"/>
    <col min="43" max="43" width="17" style="375" customWidth="1"/>
    <col min="44" max="44" width="15.5" style="375" customWidth="1"/>
    <col min="45" max="45" width="17" style="375" customWidth="1"/>
    <col min="46" max="46" width="15.5" style="375" customWidth="1"/>
    <col min="47" max="16384" width="9" style="375" customWidth="1"/>
  </cols>
  <sheetData>
    <row r="1" spans="1:55" ht="21.75" customHeight="1"/>
    <row r="2" spans="1:55" ht="26.25" customHeight="1">
      <c r="F2" s="496"/>
      <c r="H2" s="521" t="s">
        <v>151</v>
      </c>
      <c r="W2" s="686" t="s">
        <v>114</v>
      </c>
      <c r="Z2" s="705"/>
      <c r="AB2" s="725"/>
      <c r="AD2" s="725"/>
      <c r="BC2" s="739" t="s">
        <v>195</v>
      </c>
    </row>
    <row r="3" spans="1:55" ht="29.25" customHeight="1">
      <c r="F3" s="495" t="s">
        <v>166</v>
      </c>
      <c r="L3" s="581"/>
      <c r="O3" s="581" t="s">
        <v>239</v>
      </c>
      <c r="W3" s="687" t="s">
        <v>39</v>
      </c>
      <c r="X3" s="691" t="s">
        <v>84</v>
      </c>
      <c r="Y3" s="695" t="s">
        <v>189</v>
      </c>
      <c r="Z3" s="706"/>
      <c r="AA3" s="716" t="s">
        <v>170</v>
      </c>
      <c r="AB3" s="480" t="str">
        <f>VLOOKUP(1,$A$5:$K$28,2,FALSE)</f>
        <v>当年</v>
      </c>
      <c r="AC3" s="716" t="s">
        <v>170</v>
      </c>
      <c r="AD3" s="480" t="str">
        <f>VLOOKUP(2,$A$5:$K$28,2,FALSE)</f>
        <v>当年</v>
      </c>
      <c r="AE3" s="716" t="s">
        <v>170</v>
      </c>
      <c r="AF3" s="479" t="str">
        <f>VLOOKUP(3,$A$5:$K$28,2,FALSE)</f>
        <v>当年</v>
      </c>
      <c r="AG3" s="716" t="s">
        <v>170</v>
      </c>
      <c r="AH3" s="479" t="str">
        <f>VLOOKUP(4,$A$5:$K$28,2,FALSE)</f>
        <v>当年</v>
      </c>
      <c r="AI3" s="716" t="s">
        <v>170</v>
      </c>
      <c r="AJ3" s="479" t="str">
        <f>VLOOKUP(5,$A$5:$K$28,2,FALSE)</f>
        <v>当年</v>
      </c>
      <c r="AK3" s="716" t="s">
        <v>170</v>
      </c>
      <c r="AL3" s="479" t="str">
        <f>VLOOKUP(6,$A$5:$K$28,2,FALSE)</f>
        <v>当年</v>
      </c>
      <c r="AM3" s="716" t="s">
        <v>170</v>
      </c>
      <c r="AN3" s="479" t="str">
        <f>VLOOKUP(7,$A$5:$K$28,2,FALSE)</f>
        <v>当年</v>
      </c>
      <c r="AO3" s="716" t="s">
        <v>170</v>
      </c>
      <c r="AP3" s="479" t="str">
        <f>VLOOKUP(8,$A$5:$K$28,2,FALSE)</f>
        <v>当年</v>
      </c>
      <c r="AQ3" s="716" t="s">
        <v>170</v>
      </c>
      <c r="AR3" s="479" t="str">
        <f>VLOOKUP(9,$A$5:$K$28,2,FALSE)</f>
        <v>当年</v>
      </c>
      <c r="AS3" s="716" t="s">
        <v>170</v>
      </c>
      <c r="AT3" s="479" t="str">
        <f>VLOOKUP(10,$A$5:$K$28,2,FALSE)</f>
        <v>当年</v>
      </c>
    </row>
    <row r="4" spans="1:55" ht="19.5" customHeight="1">
      <c r="A4" s="375" t="s">
        <v>171</v>
      </c>
      <c r="B4" s="375" t="s">
        <v>170</v>
      </c>
      <c r="C4" s="375" t="s">
        <v>172</v>
      </c>
      <c r="D4" s="375" t="s">
        <v>173</v>
      </c>
      <c r="E4" s="375" t="s">
        <v>75</v>
      </c>
      <c r="F4" s="497"/>
      <c r="G4" s="506" t="s">
        <v>62</v>
      </c>
      <c r="H4" s="522" t="s">
        <v>66</v>
      </c>
      <c r="I4" s="522" t="s">
        <v>67</v>
      </c>
      <c r="J4" s="522"/>
      <c r="K4" s="564"/>
      <c r="L4" s="582" t="s">
        <v>155</v>
      </c>
      <c r="M4" s="522" t="s">
        <v>64</v>
      </c>
      <c r="N4" s="522"/>
      <c r="O4" s="616" t="s">
        <v>196</v>
      </c>
      <c r="P4" s="622" t="s">
        <v>122</v>
      </c>
      <c r="Q4" s="639"/>
      <c r="R4" s="567" t="s">
        <v>68</v>
      </c>
      <c r="S4" s="666"/>
      <c r="T4" s="673"/>
      <c r="U4" s="516"/>
      <c r="W4" s="688"/>
      <c r="X4" s="692"/>
      <c r="Y4" s="696"/>
      <c r="Z4" s="707" t="s">
        <v>160</v>
      </c>
      <c r="AA4" s="717" t="s">
        <v>62</v>
      </c>
      <c r="AB4" s="694" t="str">
        <f>VLOOKUP(1,$A$5:$K$28,7,FALSE)</f>
        <v>トラクタA</v>
      </c>
      <c r="AC4" s="717" t="s">
        <v>62</v>
      </c>
      <c r="AD4" s="694" t="str">
        <f>VLOOKUP(2,$A$5:$K$28,7,FALSE)</f>
        <v>コンバイン</v>
      </c>
      <c r="AE4" s="717" t="s">
        <v>62</v>
      </c>
      <c r="AF4" s="694" t="str">
        <f>VLOOKUP(3,$A$5:$K$28,7,FALSE)</f>
        <v>トラクタB</v>
      </c>
      <c r="AG4" s="717" t="s">
        <v>62</v>
      </c>
      <c r="AH4" s="694" t="str">
        <f>VLOOKUP(4,$A$5:$K$28,7,FALSE)</f>
        <v>田植機</v>
      </c>
      <c r="AI4" s="717" t="s">
        <v>62</v>
      </c>
      <c r="AJ4" s="694" t="str">
        <f>VLOOKUP(5,$A$5:$K$28,7,FALSE)</f>
        <v/>
      </c>
      <c r="AK4" s="717" t="s">
        <v>62</v>
      </c>
      <c r="AL4" s="694" t="str">
        <f>VLOOKUP(6,$A$5:$K$28,7,FALSE)</f>
        <v/>
      </c>
      <c r="AM4" s="717" t="s">
        <v>62</v>
      </c>
      <c r="AN4" s="694" t="str">
        <f>VLOOKUP(7,$A$5:$K$28,7,FALSE)</f>
        <v/>
      </c>
      <c r="AO4" s="717" t="s">
        <v>62</v>
      </c>
      <c r="AP4" s="694" t="str">
        <f>VLOOKUP(8,$A$5:$K$28,7,FALSE)</f>
        <v/>
      </c>
      <c r="AQ4" s="717" t="s">
        <v>62</v>
      </c>
      <c r="AR4" s="694" t="str">
        <f>VLOOKUP(9,$A$5:$K$28,7,FALSE)</f>
        <v/>
      </c>
      <c r="AS4" s="717" t="s">
        <v>62</v>
      </c>
      <c r="AT4" s="694" t="str">
        <f>VLOOKUP(10,$A$5:$K$28,7,FALSE)</f>
        <v/>
      </c>
    </row>
    <row r="5" spans="1:55" ht="19.5" customHeight="1">
      <c r="A5" s="375">
        <f>IF(ISTEXT(G5),1,"")</f>
        <v>1</v>
      </c>
      <c r="B5" s="375" t="s">
        <v>169</v>
      </c>
      <c r="C5" s="375" t="str">
        <f>IF($Q5="ⓐ",COUNTIF($Q$5:Q5,"ⓐ"),"")</f>
        <v/>
      </c>
      <c r="D5" s="375" t="str">
        <f>IF($Q5="ⓑ",COUNTIF($Q$5:R5,"ⓑ"),"")</f>
        <v/>
      </c>
      <c r="E5" s="375">
        <f>IF($Q5="ⓒ",COUNTIF($Q$5:S5,"ⓒ"),"")</f>
        <v>1</v>
      </c>
      <c r="F5" s="498">
        <v>1</v>
      </c>
      <c r="G5" s="507" t="str">
        <f>IFERROR(VLOOKUP(1,'資料2.内訳'!$X$3:$AD$122,2,FALSE),"")</f>
        <v>トラクタA</v>
      </c>
      <c r="H5" s="523" t="s">
        <v>270</v>
      </c>
      <c r="I5" s="542">
        <f>IFERROR(VLOOKUP(1,'資料2.内訳'!$X$3:$AD$122,3,FALSE),"")</f>
        <v>3300000</v>
      </c>
      <c r="J5" s="542" t="str">
        <f>VLOOKUP(1,'資料2.内訳'!$X$3:$AD$122,2,FALSE)</f>
        <v>トラクタA</v>
      </c>
      <c r="K5" s="565" t="str">
        <f>VLOOKUP(1,'資料2.内訳'!$X$3:$AD$122,2,FALSE)</f>
        <v>トラクタA</v>
      </c>
      <c r="L5" s="583"/>
      <c r="M5" s="599">
        <v>12</v>
      </c>
      <c r="N5" s="599"/>
      <c r="O5" s="617"/>
      <c r="P5" s="623">
        <f t="shared" ref="P5:P14" si="0">IFERROR(IF(ISBLANK(I5),"",INT(I5/M5)),"")</f>
        <v>275000</v>
      </c>
      <c r="Q5" s="640" t="str">
        <f t="shared" ref="Q5:Q14" si="1">IF(ISNUMBER(P5),IF(AND(P5&gt;0,P5&lt;100000),"ⓐ",IF(P5&gt;=200000,"ⓒ","ⓑ")),"")</f>
        <v>ⓒ</v>
      </c>
      <c r="R5" s="649" t="s">
        <v>236</v>
      </c>
      <c r="S5" s="585"/>
      <c r="T5" s="674"/>
      <c r="U5" s="680"/>
      <c r="W5" s="688"/>
      <c r="X5" s="692"/>
      <c r="Y5" s="696"/>
      <c r="Z5" s="708"/>
      <c r="AA5" s="718" t="s">
        <v>156</v>
      </c>
      <c r="AB5" s="711">
        <f>SUM(AA7:AB36)</f>
        <v>393252</v>
      </c>
      <c r="AC5" s="718" t="s">
        <v>156</v>
      </c>
      <c r="AD5" s="711">
        <f>SUM(AC7:AD36)</f>
        <v>148956</v>
      </c>
      <c r="AE5" s="718" t="s">
        <v>156</v>
      </c>
      <c r="AF5" s="711">
        <f>SUM(AE7:AF36)</f>
        <v>600000</v>
      </c>
      <c r="AG5" s="718" t="s">
        <v>156</v>
      </c>
      <c r="AH5" s="711">
        <f>SUM(AG7:AH36)</f>
        <v>499992</v>
      </c>
      <c r="AI5" s="718" t="s">
        <v>156</v>
      </c>
      <c r="AJ5" s="711">
        <f>SUM(AI7:AJ36)</f>
        <v>772200</v>
      </c>
      <c r="AK5" s="718" t="s">
        <v>156</v>
      </c>
      <c r="AL5" s="711">
        <f>SUM(AK7:AL36)</f>
        <v>0</v>
      </c>
      <c r="AM5" s="718" t="s">
        <v>156</v>
      </c>
      <c r="AN5" s="711">
        <f>SUM(AM7:AN36)</f>
        <v>0</v>
      </c>
      <c r="AO5" s="718" t="s">
        <v>156</v>
      </c>
      <c r="AP5" s="711">
        <f>SUM(AO7:AP36)</f>
        <v>0</v>
      </c>
      <c r="AQ5" s="718" t="s">
        <v>156</v>
      </c>
      <c r="AR5" s="711">
        <f>SUM(AQ7:AR36)</f>
        <v>0</v>
      </c>
      <c r="AS5" s="718" t="s">
        <v>156</v>
      </c>
      <c r="AT5" s="711">
        <f>SUM(AS7:AT36)</f>
        <v>0</v>
      </c>
    </row>
    <row r="6" spans="1:55" ht="19.5" customHeight="1">
      <c r="A6" s="375">
        <f t="shared" ref="A6:A14" si="2">IF(ISTEXT(G6),1+A5,"")</f>
        <v>2</v>
      </c>
      <c r="B6" s="375" t="s">
        <v>169</v>
      </c>
      <c r="C6" s="375" t="str">
        <f>IF($Q6="ⓐ",COUNTIF($Q$5:Q6,"ⓐ"),"")</f>
        <v/>
      </c>
      <c r="D6" s="375" t="str">
        <f>IF($Q6="ⓑ",COUNTIF($Q$5:R6,"ⓑ"),"")</f>
        <v/>
      </c>
      <c r="E6" s="375">
        <f>IF($Q6="ⓒ",COUNTIF($Q$5:S6,"ⓒ"),"")</f>
        <v>2</v>
      </c>
      <c r="F6" s="498">
        <v>2</v>
      </c>
      <c r="G6" s="507" t="str">
        <f>IFERROR(VLOOKUP(2,'資料2.内訳'!$X$3:$AD$122,2,FALSE),"")</f>
        <v>コンバイン</v>
      </c>
      <c r="H6" s="523" t="s">
        <v>86</v>
      </c>
      <c r="I6" s="542">
        <f>IFERROR(VLOOKUP(2,'資料2.内訳'!$X$3:$AD$122,3,FALSE),"")</f>
        <v>2500000</v>
      </c>
      <c r="J6" s="542" t="str">
        <f>VLOOKUP(1,'資料2.内訳'!$X$3:$AD$122,2,FALSE)</f>
        <v>トラクタA</v>
      </c>
      <c r="K6" s="565" t="str">
        <f>VLOOKUP(1,'資料2.内訳'!$X$3:$AD$122,2,FALSE)</f>
        <v>トラクタA</v>
      </c>
      <c r="L6" s="583"/>
      <c r="M6" s="599">
        <v>12</v>
      </c>
      <c r="N6" s="599"/>
      <c r="O6" s="617"/>
      <c r="P6" s="623">
        <f t="shared" si="0"/>
        <v>208333</v>
      </c>
      <c r="Q6" s="640" t="str">
        <f t="shared" si="1"/>
        <v>ⓒ</v>
      </c>
      <c r="R6" s="650"/>
      <c r="S6" s="585"/>
      <c r="T6" s="674"/>
      <c r="U6" s="397"/>
      <c r="W6" s="689"/>
      <c r="X6" s="693"/>
      <c r="Y6" s="697"/>
      <c r="Z6" s="709"/>
      <c r="AA6" s="474" t="s">
        <v>159</v>
      </c>
      <c r="AB6" s="482"/>
      <c r="AC6" s="733" t="s">
        <v>159</v>
      </c>
      <c r="AD6" s="738"/>
      <c r="AE6" s="733" t="s">
        <v>159</v>
      </c>
      <c r="AF6" s="738"/>
      <c r="AG6" s="733" t="s">
        <v>159</v>
      </c>
      <c r="AH6" s="738"/>
      <c r="AI6" s="733" t="s">
        <v>159</v>
      </c>
      <c r="AJ6" s="738"/>
      <c r="AK6" s="733" t="s">
        <v>159</v>
      </c>
      <c r="AL6" s="738"/>
      <c r="AM6" s="733" t="s">
        <v>159</v>
      </c>
      <c r="AN6" s="738"/>
      <c r="AO6" s="733" t="s">
        <v>159</v>
      </c>
      <c r="AP6" s="738"/>
      <c r="AQ6" s="733" t="s">
        <v>159</v>
      </c>
      <c r="AR6" s="738"/>
      <c r="AS6" s="733" t="s">
        <v>159</v>
      </c>
      <c r="AT6" s="738"/>
    </row>
    <row r="7" spans="1:55" ht="19.5" customHeight="1">
      <c r="A7" s="375">
        <f t="shared" si="2"/>
        <v>3</v>
      </c>
      <c r="B7" s="375" t="s">
        <v>169</v>
      </c>
      <c r="C7" s="375">
        <f>IF($Q7="ⓐ",COUNTIF($Q$5:Q7,"ⓐ"),"")</f>
        <v>1</v>
      </c>
      <c r="D7" s="375" t="str">
        <f>IF($Q7="ⓑ",COUNTIF($Q$5:R7,"ⓑ"),"")</f>
        <v/>
      </c>
      <c r="E7" s="375" t="str">
        <f>IF($Q7="ⓒ",COUNTIF($Q$5:S7,"ⓒ"),"")</f>
        <v/>
      </c>
      <c r="F7" s="498">
        <v>3</v>
      </c>
      <c r="G7" s="507" t="str">
        <f>IFERROR(VLOOKUP(3,'資料2.内訳'!$X$3:$AD$122,2,FALSE),"")</f>
        <v>トラクタB</v>
      </c>
      <c r="H7" s="523" t="s">
        <v>261</v>
      </c>
      <c r="I7" s="542">
        <f>IFERROR(VLOOKUP(3,'資料2.内訳'!$X$3:$AD$122,3,FALSE),"")</f>
        <v>600000</v>
      </c>
      <c r="J7" s="542" t="str">
        <f>VLOOKUP(1,'資料2.内訳'!$X$3:$AD$122,2,FALSE)</f>
        <v>トラクタA</v>
      </c>
      <c r="K7" s="565" t="str">
        <f>VLOOKUP(1,'資料2.内訳'!$X$3:$AD$122,2,FALSE)</f>
        <v>トラクタA</v>
      </c>
      <c r="L7" s="583"/>
      <c r="M7" s="599">
        <v>12</v>
      </c>
      <c r="N7" s="599"/>
      <c r="O7" s="617"/>
      <c r="P7" s="623">
        <f t="shared" si="0"/>
        <v>50000</v>
      </c>
      <c r="Q7" s="640" t="str">
        <f t="shared" si="1"/>
        <v>ⓐ</v>
      </c>
      <c r="R7" s="650"/>
      <c r="S7" s="585"/>
      <c r="T7" s="674"/>
      <c r="U7" s="397"/>
      <c r="W7" s="690">
        <v>1</v>
      </c>
      <c r="X7" s="694" t="str">
        <f>'資料1.参加者及び面積'!$F3</f>
        <v>口羽太郎</v>
      </c>
      <c r="Y7" s="698">
        <f t="shared" ref="Y7:Y36" si="3">SUM(AA7:CH7)</f>
        <v>201200</v>
      </c>
      <c r="Z7" s="710">
        <f t="shared" ref="Z7:Z36" si="4">SUMIF($AB$3,"当年",$AA7)+SUMIF($AD$3,"当年",$AC7)+SUMIF($AF$3,"当年",$AE7)+SUMIF($AH$3,"当年",$AG7)+SUMIF($AJ$3,"当年",$AI7)+SUMIF($AL$3,"当年",$AK7)+SUMIF($AN$3,"当年",$AM7)+SUMIF($AP$3,"当年",AO$7)+SUMIF($AR$3,"当年",$AQ7)+SUMIF($AT$3,"当年",$AS7)</f>
        <v>201200</v>
      </c>
      <c r="AA7" s="719">
        <f>'資料5.減価償却費個別内訳'!E6</f>
        <v>32771</v>
      </c>
      <c r="AB7" s="726"/>
      <c r="AC7" s="719">
        <f>'資料5.減価償却費個別内訳'!G6</f>
        <v>12413</v>
      </c>
      <c r="AD7" s="726"/>
      <c r="AE7" s="719">
        <f>'資料5.減価償却費個別内訳'!I6</f>
        <v>50000</v>
      </c>
      <c r="AF7" s="726"/>
      <c r="AG7" s="719">
        <f>'資料5.減価償却費個別内訳'!K6</f>
        <v>41666</v>
      </c>
      <c r="AH7" s="726"/>
      <c r="AI7" s="719">
        <f>'資料5.減価償却費個別内訳'!M6</f>
        <v>64350</v>
      </c>
      <c r="AJ7" s="726"/>
      <c r="AK7" s="719">
        <f>'資料5.減価償却費個別内訳'!O6</f>
        <v>0</v>
      </c>
      <c r="AL7" s="726"/>
      <c r="AM7" s="719">
        <f>'資料5.減価償却費個別内訳'!Q6</f>
        <v>0</v>
      </c>
      <c r="AN7" s="726"/>
      <c r="AO7" s="719">
        <f>'資料5.減価償却費個別内訳'!S6</f>
        <v>0</v>
      </c>
      <c r="AP7" s="726"/>
      <c r="AQ7" s="719">
        <f>'資料5.減価償却費個別内訳'!U6</f>
        <v>0</v>
      </c>
      <c r="AR7" s="726"/>
      <c r="AS7" s="719">
        <f>'資料5.減価償却費個別内訳'!W6</f>
        <v>0</v>
      </c>
      <c r="AT7" s="726"/>
    </row>
    <row r="8" spans="1:55" ht="19.5" customHeight="1">
      <c r="A8" s="375">
        <f t="shared" si="2"/>
        <v>4</v>
      </c>
      <c r="B8" s="375" t="s">
        <v>169</v>
      </c>
      <c r="C8" s="375" t="str">
        <f>IF($Q8="ⓐ",COUNTIF($Q$5:Q8,"ⓐ"),"")</f>
        <v/>
      </c>
      <c r="D8" s="375">
        <f>IF($Q8="ⓑ",COUNTIF($Q$5:R8,"ⓑ"),"")</f>
        <v>1</v>
      </c>
      <c r="E8" s="375" t="str">
        <f>IF($Q8="ⓒ",COUNTIF($Q$5:S8,"ⓒ"),"")</f>
        <v/>
      </c>
      <c r="F8" s="498">
        <v>4</v>
      </c>
      <c r="G8" s="507" t="str">
        <f>IFERROR(VLOOKUP(4,'資料2.内訳'!$X$3:$AD$122,2,FALSE),"")</f>
        <v>田植機</v>
      </c>
      <c r="H8" s="523" t="s">
        <v>61</v>
      </c>
      <c r="I8" s="542">
        <f>IFERROR(VLOOKUP(4,'資料2.内訳'!$X$3:$AD$122,3,FALSE),"")</f>
        <v>1500000</v>
      </c>
      <c r="J8" s="542" t="str">
        <f>VLOOKUP(1,'資料2.内訳'!$X$3:$AD$122,2,FALSE)</f>
        <v>トラクタA</v>
      </c>
      <c r="K8" s="565" t="str">
        <f>VLOOKUP(1,'資料2.内訳'!$X$3:$AD$122,2,FALSE)</f>
        <v>トラクタA</v>
      </c>
      <c r="L8" s="583"/>
      <c r="M8" s="599">
        <v>12</v>
      </c>
      <c r="N8" s="599"/>
      <c r="O8" s="617"/>
      <c r="P8" s="623">
        <f t="shared" si="0"/>
        <v>125000</v>
      </c>
      <c r="Q8" s="640" t="str">
        <f t="shared" si="1"/>
        <v>ⓑ</v>
      </c>
      <c r="R8" s="650"/>
      <c r="S8" s="585"/>
      <c r="T8" s="674"/>
      <c r="U8" s="397"/>
      <c r="W8" s="457">
        <v>2</v>
      </c>
      <c r="X8" s="463" t="str">
        <f>'資料1.参加者及び面積'!$F4</f>
        <v>阿須那花子</v>
      </c>
      <c r="Y8" s="699">
        <f t="shared" si="3"/>
        <v>201200</v>
      </c>
      <c r="Z8" s="711">
        <f t="shared" si="4"/>
        <v>201200</v>
      </c>
      <c r="AA8" s="720">
        <f>'資料5.減価償却費個別内訳'!E7</f>
        <v>32771</v>
      </c>
      <c r="AB8" s="727"/>
      <c r="AC8" s="720">
        <f>'資料5.減価償却費個別内訳'!G7</f>
        <v>12413</v>
      </c>
      <c r="AD8" s="727"/>
      <c r="AE8" s="720">
        <f>'資料5.減価償却費個別内訳'!I7</f>
        <v>50000</v>
      </c>
      <c r="AF8" s="727"/>
      <c r="AG8" s="720">
        <f>'資料5.減価償却費個別内訳'!K7</f>
        <v>41666</v>
      </c>
      <c r="AH8" s="727"/>
      <c r="AI8" s="720">
        <f>'資料5.減価償却費個別内訳'!M7</f>
        <v>64350</v>
      </c>
      <c r="AJ8" s="727"/>
      <c r="AK8" s="720">
        <f>'資料5.減価償却費個別内訳'!O7</f>
        <v>0</v>
      </c>
      <c r="AL8" s="727"/>
      <c r="AM8" s="720">
        <f>'資料5.減価償却費個別内訳'!Q7</f>
        <v>0</v>
      </c>
      <c r="AN8" s="727"/>
      <c r="AO8" s="720">
        <f>'資料5.減価償却費個別内訳'!S7</f>
        <v>0</v>
      </c>
      <c r="AP8" s="727"/>
      <c r="AQ8" s="720">
        <f>'資料5.減価償却費個別内訳'!U7</f>
        <v>0</v>
      </c>
      <c r="AR8" s="727"/>
      <c r="AS8" s="720">
        <f>'資料5.減価償却費個別内訳'!W7</f>
        <v>0</v>
      </c>
      <c r="AT8" s="727"/>
    </row>
    <row r="9" spans="1:55" ht="19.5" customHeight="1">
      <c r="A9" s="375">
        <f t="shared" si="2"/>
        <v>5</v>
      </c>
      <c r="B9" s="375" t="s">
        <v>169</v>
      </c>
      <c r="C9" s="375" t="str">
        <f>IF($Q9="ⓐ",COUNTIF($Q$5:Q9,"ⓐ"),"")</f>
        <v/>
      </c>
      <c r="D9" s="375" t="str">
        <f>IF($Q9="ⓑ",COUNTIF($Q$5:R9,"ⓑ"),"")</f>
        <v/>
      </c>
      <c r="E9" s="375" t="str">
        <f>IF($Q9="ⓒ",COUNTIF($Q$5:S9,"ⓒ"),"")</f>
        <v/>
      </c>
      <c r="F9" s="498">
        <v>5</v>
      </c>
      <c r="G9" s="508" t="str">
        <f>IFERROR(VLOOKUP(5,'資料2.内訳'!$X$3:$AD$122,2,FALSE),"")</f>
        <v/>
      </c>
      <c r="H9" s="524"/>
      <c r="I9" s="542" t="str">
        <f>IFERROR(VLOOKUP(5,'資料2.内訳'!$X$3:$AD$122,3,FALSE),"")</f>
        <v/>
      </c>
      <c r="J9" s="542" t="str">
        <f>VLOOKUP(1,'資料2.内訳'!$X$3:$AD$122,2,FALSE)</f>
        <v>トラクタA</v>
      </c>
      <c r="K9" s="565" t="str">
        <f>VLOOKUP(1,'資料2.内訳'!$X$3:$AD$122,2,FALSE)</f>
        <v>トラクタA</v>
      </c>
      <c r="L9" s="583"/>
      <c r="M9" s="599"/>
      <c r="N9" s="599"/>
      <c r="O9" s="617"/>
      <c r="P9" s="623" t="str">
        <f t="shared" si="0"/>
        <v/>
      </c>
      <c r="Q9" s="640" t="str">
        <f t="shared" si="1"/>
        <v/>
      </c>
      <c r="R9" s="650"/>
      <c r="S9" s="585"/>
      <c r="T9" s="674"/>
      <c r="U9" s="397"/>
      <c r="W9" s="457">
        <v>3</v>
      </c>
      <c r="X9" s="463" t="str">
        <f>'資料1.参加者及び面積'!$F5</f>
        <v>布施一郎</v>
      </c>
      <c r="Y9" s="699">
        <f t="shared" si="3"/>
        <v>201200</v>
      </c>
      <c r="Z9" s="711">
        <f t="shared" si="4"/>
        <v>201200</v>
      </c>
      <c r="AA9" s="720">
        <f>'資料5.減価償却費個別内訳'!E8</f>
        <v>32771</v>
      </c>
      <c r="AB9" s="727"/>
      <c r="AC9" s="720">
        <f>'資料5.減価償却費個別内訳'!G8</f>
        <v>12413</v>
      </c>
      <c r="AD9" s="727"/>
      <c r="AE9" s="720">
        <f>'資料5.減価償却費個別内訳'!I8</f>
        <v>50000</v>
      </c>
      <c r="AF9" s="727"/>
      <c r="AG9" s="720">
        <f>'資料5.減価償却費個別内訳'!K8</f>
        <v>41666</v>
      </c>
      <c r="AH9" s="727"/>
      <c r="AI9" s="720">
        <f>'資料5.減価償却費個別内訳'!M8</f>
        <v>64350</v>
      </c>
      <c r="AJ9" s="727"/>
      <c r="AK9" s="720">
        <f>'資料5.減価償却費個別内訳'!O8</f>
        <v>0</v>
      </c>
      <c r="AL9" s="727"/>
      <c r="AM9" s="720">
        <f>'資料5.減価償却費個別内訳'!Q8</f>
        <v>0</v>
      </c>
      <c r="AN9" s="727"/>
      <c r="AO9" s="720">
        <f>'資料5.減価償却費個別内訳'!S8</f>
        <v>0</v>
      </c>
      <c r="AP9" s="727"/>
      <c r="AQ9" s="720">
        <f>'資料5.減価償却費個別内訳'!U8</f>
        <v>0</v>
      </c>
      <c r="AR9" s="727"/>
      <c r="AS9" s="720">
        <f>'資料5.減価償却費個別内訳'!W8</f>
        <v>0</v>
      </c>
      <c r="AT9" s="727"/>
    </row>
    <row r="10" spans="1:55" ht="19.5" customHeight="1">
      <c r="A10" s="375">
        <f t="shared" si="2"/>
        <v>6</v>
      </c>
      <c r="B10" s="375" t="s">
        <v>169</v>
      </c>
      <c r="C10" s="375" t="str">
        <f>IF($Q10="ⓐ",COUNTIF($Q$5:Q10,"ⓐ"),"")</f>
        <v/>
      </c>
      <c r="D10" s="375" t="str">
        <f>IF($Q10="ⓑ",COUNTIF($Q$5:R10,"ⓑ"),"")</f>
        <v/>
      </c>
      <c r="E10" s="375" t="str">
        <f>IF($Q10="ⓒ",COUNTIF($Q$5:S10,"ⓒ"),"")</f>
        <v/>
      </c>
      <c r="F10" s="498">
        <v>6</v>
      </c>
      <c r="G10" s="508" t="str">
        <f>IFERROR(VLOOKUP(6,'資料2.内訳'!$X$3:$AD$122,2,FALSE),"")</f>
        <v/>
      </c>
      <c r="H10" s="524"/>
      <c r="I10" s="542" t="str">
        <f>IFERROR(VLOOKUP(6,'資料2.内訳'!$X$3:$AD$122,3,FALSE),"")</f>
        <v/>
      </c>
      <c r="J10" s="542" t="str">
        <f>VLOOKUP(1,'資料2.内訳'!$X$3:$AD$122,2,FALSE)</f>
        <v>トラクタA</v>
      </c>
      <c r="K10" s="565" t="str">
        <f>VLOOKUP(1,'資料2.内訳'!$X$3:$AD$122,2,FALSE)</f>
        <v>トラクタA</v>
      </c>
      <c r="L10" s="583"/>
      <c r="M10" s="599"/>
      <c r="N10" s="599"/>
      <c r="O10" s="617"/>
      <c r="P10" s="623" t="str">
        <f t="shared" si="0"/>
        <v/>
      </c>
      <c r="Q10" s="640" t="str">
        <f t="shared" si="1"/>
        <v/>
      </c>
      <c r="R10" s="650"/>
      <c r="S10" s="585"/>
      <c r="T10" s="674"/>
      <c r="U10" s="397"/>
      <c r="W10" s="457">
        <v>4</v>
      </c>
      <c r="X10" s="463" t="str">
        <f>'資料1.参加者及び面積'!$F6</f>
        <v>高原二郎</v>
      </c>
      <c r="Y10" s="699">
        <f t="shared" si="3"/>
        <v>201200</v>
      </c>
      <c r="Z10" s="711">
        <f t="shared" si="4"/>
        <v>201200</v>
      </c>
      <c r="AA10" s="720">
        <f>'資料5.減価償却費個別内訳'!E9</f>
        <v>32771</v>
      </c>
      <c r="AB10" s="727"/>
      <c r="AC10" s="720">
        <f>'資料5.減価償却費個別内訳'!G9</f>
        <v>12413</v>
      </c>
      <c r="AD10" s="727"/>
      <c r="AE10" s="720">
        <f>'資料5.減価償却費個別内訳'!I9</f>
        <v>50000</v>
      </c>
      <c r="AF10" s="727"/>
      <c r="AG10" s="720">
        <f>'資料5.減価償却費個別内訳'!K9</f>
        <v>41666</v>
      </c>
      <c r="AH10" s="727"/>
      <c r="AI10" s="720">
        <f>'資料5.減価償却費個別内訳'!M9</f>
        <v>64350</v>
      </c>
      <c r="AJ10" s="727"/>
      <c r="AK10" s="720">
        <f>'資料5.減価償却費個別内訳'!O9</f>
        <v>0</v>
      </c>
      <c r="AL10" s="727"/>
      <c r="AM10" s="720">
        <f>'資料5.減価償却費個別内訳'!Q9</f>
        <v>0</v>
      </c>
      <c r="AN10" s="727"/>
      <c r="AO10" s="720">
        <f>'資料5.減価償却費個別内訳'!S9</f>
        <v>0</v>
      </c>
      <c r="AP10" s="727"/>
      <c r="AQ10" s="720">
        <f>'資料5.減価償却費個別内訳'!U9</f>
        <v>0</v>
      </c>
      <c r="AR10" s="727"/>
      <c r="AS10" s="720">
        <f>'資料5.減価償却費個別内訳'!W9</f>
        <v>0</v>
      </c>
      <c r="AT10" s="727"/>
    </row>
    <row r="11" spans="1:55" ht="19.5" customHeight="1">
      <c r="A11" s="375">
        <f t="shared" si="2"/>
        <v>7</v>
      </c>
      <c r="B11" s="375" t="s">
        <v>169</v>
      </c>
      <c r="C11" s="375" t="str">
        <f>IF($Q11="ⓐ",COUNTIF($Q$5:Q11,"ⓐ"),"")</f>
        <v/>
      </c>
      <c r="D11" s="375" t="str">
        <f>IF($Q11="ⓑ",COUNTIF($Q$5:R11,"ⓑ"),"")</f>
        <v/>
      </c>
      <c r="E11" s="375" t="str">
        <f>IF($Q11="ⓒ",COUNTIF($Q$5:S11,"ⓒ"),"")</f>
        <v/>
      </c>
      <c r="F11" s="498">
        <v>7</v>
      </c>
      <c r="G11" s="508" t="str">
        <f>IFERROR(VLOOKUP(7,'資料2.内訳'!$X$3:$AD$122,2,FALSE),"")</f>
        <v/>
      </c>
      <c r="H11" s="524"/>
      <c r="I11" s="542" t="str">
        <f>IFERROR(VLOOKUP(7,'資料2.内訳'!$X$3:$AD$122,3,FALSE),"")</f>
        <v/>
      </c>
      <c r="J11" s="542" t="str">
        <f>VLOOKUP(1,'資料2.内訳'!$X$3:$AD$122,2,FALSE)</f>
        <v>トラクタA</v>
      </c>
      <c r="K11" s="565" t="str">
        <f>VLOOKUP(1,'資料2.内訳'!$X$3:$AD$122,2,FALSE)</f>
        <v>トラクタA</v>
      </c>
      <c r="L11" s="583"/>
      <c r="M11" s="599"/>
      <c r="N11" s="599"/>
      <c r="O11" s="617"/>
      <c r="P11" s="623" t="str">
        <f t="shared" si="0"/>
        <v/>
      </c>
      <c r="Q11" s="640" t="str">
        <f t="shared" si="1"/>
        <v/>
      </c>
      <c r="R11" s="650"/>
      <c r="S11" s="585"/>
      <c r="T11" s="674"/>
      <c r="U11" s="397"/>
      <c r="W11" s="457">
        <v>5</v>
      </c>
      <c r="X11" s="463" t="str">
        <f>'資料1.参加者及び面積'!$F7</f>
        <v>出羽三郎</v>
      </c>
      <c r="Y11" s="699">
        <f t="shared" si="3"/>
        <v>201200</v>
      </c>
      <c r="Z11" s="711">
        <f t="shared" si="4"/>
        <v>201200</v>
      </c>
      <c r="AA11" s="720">
        <f>'資料5.減価償却費個別内訳'!E10</f>
        <v>32771</v>
      </c>
      <c r="AB11" s="727"/>
      <c r="AC11" s="720">
        <f>'資料5.減価償却費個別内訳'!G10</f>
        <v>12413</v>
      </c>
      <c r="AD11" s="727"/>
      <c r="AE11" s="720">
        <f>'資料5.減価償却費個別内訳'!I10</f>
        <v>50000</v>
      </c>
      <c r="AF11" s="727"/>
      <c r="AG11" s="720">
        <f>'資料5.減価償却費個別内訳'!K10</f>
        <v>41666</v>
      </c>
      <c r="AH11" s="727"/>
      <c r="AI11" s="720">
        <f>'資料5.減価償却費個別内訳'!M10</f>
        <v>64350</v>
      </c>
      <c r="AJ11" s="727"/>
      <c r="AK11" s="720">
        <f>'資料5.減価償却費個別内訳'!O10</f>
        <v>0</v>
      </c>
      <c r="AL11" s="727"/>
      <c r="AM11" s="720">
        <f>'資料5.減価償却費個別内訳'!Q10</f>
        <v>0</v>
      </c>
      <c r="AN11" s="727"/>
      <c r="AO11" s="720">
        <f>'資料5.減価償却費個別内訳'!S10</f>
        <v>0</v>
      </c>
      <c r="AP11" s="727"/>
      <c r="AQ11" s="720">
        <f>'資料5.減価償却費個別内訳'!U10</f>
        <v>0</v>
      </c>
      <c r="AR11" s="727"/>
      <c r="AS11" s="720">
        <f>'資料5.減価償却費個別内訳'!W10</f>
        <v>0</v>
      </c>
      <c r="AT11" s="727"/>
    </row>
    <row r="12" spans="1:55" ht="19.5" customHeight="1">
      <c r="A12" s="375">
        <f t="shared" si="2"/>
        <v>8</v>
      </c>
      <c r="B12" s="375" t="s">
        <v>169</v>
      </c>
      <c r="C12" s="375" t="str">
        <f>IF($Q12="ⓐ",COUNTIF($Q$5:Q12,"ⓐ"),"")</f>
        <v/>
      </c>
      <c r="D12" s="375" t="str">
        <f>IF($Q12="ⓑ",COUNTIF($Q$5:R12,"ⓑ"),"")</f>
        <v/>
      </c>
      <c r="E12" s="375" t="str">
        <f>IF($Q12="ⓒ",COUNTIF($Q$5:S12,"ⓒ"),"")</f>
        <v/>
      </c>
      <c r="F12" s="498">
        <v>8</v>
      </c>
      <c r="G12" s="508" t="str">
        <f>IFERROR(VLOOKUP(8,'資料2.内訳'!$X$3:$AD$122,2,FALSE),"")</f>
        <v/>
      </c>
      <c r="H12" s="524"/>
      <c r="I12" s="542" t="str">
        <f>IFERROR(VLOOKUP(8,'資料2.内訳'!$X$3:$AD$122,3,FALSE),"")</f>
        <v/>
      </c>
      <c r="J12" s="542" t="str">
        <f>VLOOKUP(1,'資料2.内訳'!$X$3:$AD$122,2,FALSE)</f>
        <v>トラクタA</v>
      </c>
      <c r="K12" s="565" t="str">
        <f>VLOOKUP(1,'資料2.内訳'!$X$3:$AD$122,2,FALSE)</f>
        <v>トラクタA</v>
      </c>
      <c r="L12" s="583"/>
      <c r="M12" s="599"/>
      <c r="N12" s="599"/>
      <c r="O12" s="617"/>
      <c r="P12" s="623" t="str">
        <f t="shared" si="0"/>
        <v/>
      </c>
      <c r="Q12" s="640" t="str">
        <f t="shared" si="1"/>
        <v/>
      </c>
      <c r="R12" s="650"/>
      <c r="S12" s="585"/>
      <c r="T12" s="674"/>
      <c r="U12" s="397"/>
      <c r="W12" s="457">
        <v>6</v>
      </c>
      <c r="X12" s="463" t="str">
        <f>'資料1.参加者及び面積'!$F8</f>
        <v>田所四郎</v>
      </c>
      <c r="Y12" s="699">
        <f t="shared" si="3"/>
        <v>201200</v>
      </c>
      <c r="Z12" s="711">
        <f t="shared" si="4"/>
        <v>201200</v>
      </c>
      <c r="AA12" s="720">
        <f>'資料5.減価償却費個別内訳'!E11</f>
        <v>32771</v>
      </c>
      <c r="AB12" s="727"/>
      <c r="AC12" s="720">
        <f>'資料5.減価償却費個別内訳'!G11</f>
        <v>12413</v>
      </c>
      <c r="AD12" s="727"/>
      <c r="AE12" s="720">
        <f>'資料5.減価償却費個別内訳'!I11</f>
        <v>50000</v>
      </c>
      <c r="AF12" s="727"/>
      <c r="AG12" s="720">
        <f>'資料5.減価償却費個別内訳'!K11</f>
        <v>41666</v>
      </c>
      <c r="AH12" s="727"/>
      <c r="AI12" s="720">
        <f>'資料5.減価償却費個別内訳'!M11</f>
        <v>64350</v>
      </c>
      <c r="AJ12" s="727"/>
      <c r="AK12" s="720">
        <f>'資料5.減価償却費個別内訳'!O11</f>
        <v>0</v>
      </c>
      <c r="AL12" s="727"/>
      <c r="AM12" s="720">
        <f>'資料5.減価償却費個別内訳'!Q11</f>
        <v>0</v>
      </c>
      <c r="AN12" s="727"/>
      <c r="AO12" s="720">
        <f>'資料5.減価償却費個別内訳'!S11</f>
        <v>0</v>
      </c>
      <c r="AP12" s="727"/>
      <c r="AQ12" s="720">
        <f>'資料5.減価償却費個別内訳'!U11</f>
        <v>0</v>
      </c>
      <c r="AR12" s="727"/>
      <c r="AS12" s="720">
        <f>'資料5.減価償却費個別内訳'!W11</f>
        <v>0</v>
      </c>
      <c r="AT12" s="727"/>
    </row>
    <row r="13" spans="1:55" ht="19.5" customHeight="1">
      <c r="A13" s="375">
        <f t="shared" si="2"/>
        <v>9</v>
      </c>
      <c r="B13" s="375" t="s">
        <v>169</v>
      </c>
      <c r="C13" s="375" t="str">
        <f>IF($Q13="ⓐ",COUNTIF($Q$5:Q13,"ⓐ"),"")</f>
        <v/>
      </c>
      <c r="D13" s="375" t="str">
        <f>IF($Q13="ⓑ",COUNTIF($Q$5:R13,"ⓑ"),"")</f>
        <v/>
      </c>
      <c r="E13" s="375" t="str">
        <f>IF($Q13="ⓒ",COUNTIF($Q$5:S13,"ⓒ"),"")</f>
        <v/>
      </c>
      <c r="F13" s="498">
        <v>9</v>
      </c>
      <c r="G13" s="508" t="str">
        <f>IFERROR(VLOOKUP(9,'資料2.内訳'!$X$3:$AD$122,2,FALSE),"")</f>
        <v/>
      </c>
      <c r="H13" s="524"/>
      <c r="I13" s="542" t="str">
        <f>IFERROR(VLOOKUP(9,'資料2.内訳'!$X$3:$AD$122,3,FALSE),"")</f>
        <v/>
      </c>
      <c r="J13" s="542" t="str">
        <f>VLOOKUP(1,'資料2.内訳'!$X$3:$AD$122,2,FALSE)</f>
        <v>トラクタA</v>
      </c>
      <c r="K13" s="565" t="str">
        <f>VLOOKUP(1,'資料2.内訳'!$X$3:$AD$122,2,FALSE)</f>
        <v>トラクタA</v>
      </c>
      <c r="L13" s="583"/>
      <c r="M13" s="599"/>
      <c r="N13" s="599"/>
      <c r="O13" s="617"/>
      <c r="P13" s="623" t="str">
        <f t="shared" si="0"/>
        <v/>
      </c>
      <c r="Q13" s="640" t="str">
        <f t="shared" si="1"/>
        <v/>
      </c>
      <c r="R13" s="650"/>
      <c r="S13" s="585"/>
      <c r="T13" s="674"/>
      <c r="U13" s="397"/>
      <c r="W13" s="457">
        <v>7</v>
      </c>
      <c r="X13" s="463" t="str">
        <f>'資料1.参加者及び面積'!$F9</f>
        <v>市木五郎</v>
      </c>
      <c r="Y13" s="699">
        <f t="shared" si="3"/>
        <v>201200</v>
      </c>
      <c r="Z13" s="711">
        <f t="shared" si="4"/>
        <v>201200</v>
      </c>
      <c r="AA13" s="720">
        <f>'資料5.減価償却費個別内訳'!E12</f>
        <v>32771</v>
      </c>
      <c r="AB13" s="727"/>
      <c r="AC13" s="720">
        <f>'資料5.減価償却費個別内訳'!G12</f>
        <v>12413</v>
      </c>
      <c r="AD13" s="727"/>
      <c r="AE13" s="720">
        <f>'資料5.減価償却費個別内訳'!I12</f>
        <v>50000</v>
      </c>
      <c r="AF13" s="727"/>
      <c r="AG13" s="720">
        <f>'資料5.減価償却費個別内訳'!K12</f>
        <v>41666</v>
      </c>
      <c r="AH13" s="727"/>
      <c r="AI13" s="720">
        <f>'資料5.減価償却費個別内訳'!M12</f>
        <v>64350</v>
      </c>
      <c r="AJ13" s="727"/>
      <c r="AK13" s="720">
        <f>'資料5.減価償却費個別内訳'!O12</f>
        <v>0</v>
      </c>
      <c r="AL13" s="727"/>
      <c r="AM13" s="720">
        <f>'資料5.減価償却費個別内訳'!Q12</f>
        <v>0</v>
      </c>
      <c r="AN13" s="727"/>
      <c r="AO13" s="720">
        <f>'資料5.減価償却費個別内訳'!S12</f>
        <v>0</v>
      </c>
      <c r="AP13" s="727"/>
      <c r="AQ13" s="720">
        <f>'資料5.減価償却費個別内訳'!U12</f>
        <v>0</v>
      </c>
      <c r="AR13" s="727"/>
      <c r="AS13" s="720">
        <f>'資料5.減価償却費個別内訳'!W12</f>
        <v>0</v>
      </c>
      <c r="AT13" s="727"/>
    </row>
    <row r="14" spans="1:55" ht="19.5" customHeight="1">
      <c r="A14" s="375">
        <f t="shared" si="2"/>
        <v>10</v>
      </c>
      <c r="B14" s="375" t="s">
        <v>169</v>
      </c>
      <c r="C14" s="375" t="str">
        <f>IF($Q14="ⓐ",COUNTIF($Q$5:Q14,"ⓐ"),"")</f>
        <v/>
      </c>
      <c r="D14" s="375" t="str">
        <f>IF($Q14="ⓑ",COUNTIF($Q$5:R14,"ⓑ"),"")</f>
        <v/>
      </c>
      <c r="E14" s="375" t="str">
        <f>IF($Q14="ⓒ",COUNTIF($Q$5:S14,"ⓒ"),"")</f>
        <v/>
      </c>
      <c r="F14" s="499">
        <v>10</v>
      </c>
      <c r="G14" s="509" t="str">
        <f>IFERROR(VLOOKUP(10,'資料2.内訳'!$X$3:$AD$122,2,FALSE),"")</f>
        <v/>
      </c>
      <c r="H14" s="525"/>
      <c r="I14" s="543" t="str">
        <f>IFERROR(VLOOKUP(10,'資料2.内訳'!$X$3:$AD$122,3,FALSE),"")</f>
        <v/>
      </c>
      <c r="J14" s="543" t="str">
        <f>VLOOKUP(1,'資料2.内訳'!$X$3:$AD$122,2,FALSE)</f>
        <v>トラクタA</v>
      </c>
      <c r="K14" s="566" t="str">
        <f>VLOOKUP(1,'資料2.内訳'!$X$3:$AD$122,2,FALSE)</f>
        <v>トラクタA</v>
      </c>
      <c r="L14" s="584"/>
      <c r="M14" s="600"/>
      <c r="N14" s="600"/>
      <c r="O14" s="618"/>
      <c r="P14" s="624" t="str">
        <f t="shared" si="0"/>
        <v/>
      </c>
      <c r="Q14" s="641" t="str">
        <f t="shared" si="1"/>
        <v/>
      </c>
      <c r="R14" s="651"/>
      <c r="S14" s="667"/>
      <c r="T14" s="675"/>
      <c r="U14" s="397"/>
      <c r="W14" s="457">
        <v>8</v>
      </c>
      <c r="X14" s="463" t="str">
        <f>'資料1.参加者及び面積'!$F10</f>
        <v>井原六郎</v>
      </c>
      <c r="Y14" s="699">
        <f t="shared" si="3"/>
        <v>201200</v>
      </c>
      <c r="Z14" s="711">
        <f t="shared" si="4"/>
        <v>201200</v>
      </c>
      <c r="AA14" s="720">
        <f>'資料5.減価償却費個別内訳'!E13</f>
        <v>32771</v>
      </c>
      <c r="AB14" s="727"/>
      <c r="AC14" s="720">
        <f>'資料5.減価償却費個別内訳'!G13</f>
        <v>12413</v>
      </c>
      <c r="AD14" s="727"/>
      <c r="AE14" s="720">
        <f>'資料5.減価償却費個別内訳'!I13</f>
        <v>50000</v>
      </c>
      <c r="AF14" s="727"/>
      <c r="AG14" s="720">
        <f>'資料5.減価償却費個別内訳'!K13</f>
        <v>41666</v>
      </c>
      <c r="AH14" s="727"/>
      <c r="AI14" s="720">
        <f>'資料5.減価償却費個別内訳'!M13</f>
        <v>64350</v>
      </c>
      <c r="AJ14" s="727"/>
      <c r="AK14" s="720">
        <f>'資料5.減価償却費個別内訳'!O13</f>
        <v>0</v>
      </c>
      <c r="AL14" s="727"/>
      <c r="AM14" s="720">
        <f>'資料5.減価償却費個別内訳'!Q13</f>
        <v>0</v>
      </c>
      <c r="AN14" s="727"/>
      <c r="AO14" s="720">
        <f>'資料5.減価償却費個別内訳'!S13</f>
        <v>0</v>
      </c>
      <c r="AP14" s="727"/>
      <c r="AQ14" s="720">
        <f>'資料5.減価償却費個別内訳'!U13</f>
        <v>0</v>
      </c>
      <c r="AR14" s="727"/>
      <c r="AS14" s="720">
        <f>'資料5.減価償却費個別内訳'!W13</f>
        <v>0</v>
      </c>
      <c r="AT14" s="727"/>
    </row>
    <row r="15" spans="1:55" ht="19.5" customHeight="1">
      <c r="F15" s="500"/>
      <c r="G15" s="510"/>
      <c r="H15" s="526"/>
      <c r="I15" s="544"/>
      <c r="J15" s="544"/>
      <c r="K15" s="544"/>
      <c r="L15" s="397"/>
      <c r="M15" s="516"/>
      <c r="N15" s="516"/>
      <c r="O15" s="415"/>
      <c r="P15" s="625"/>
      <c r="Q15" s="642"/>
      <c r="R15" s="397"/>
      <c r="S15" s="397"/>
      <c r="T15" s="397"/>
      <c r="U15" s="397"/>
      <c r="W15" s="457">
        <v>9</v>
      </c>
      <c r="X15" s="463" t="str">
        <f>'資料1.参加者及び面積'!$F11</f>
        <v>中野七郎</v>
      </c>
      <c r="Y15" s="699">
        <f t="shared" si="3"/>
        <v>201200</v>
      </c>
      <c r="Z15" s="711">
        <f t="shared" si="4"/>
        <v>201200</v>
      </c>
      <c r="AA15" s="720">
        <f>'資料5.減価償却費個別内訳'!E14</f>
        <v>32771</v>
      </c>
      <c r="AB15" s="727"/>
      <c r="AC15" s="720">
        <f>'資料5.減価償却費個別内訳'!G14</f>
        <v>12413</v>
      </c>
      <c r="AD15" s="727"/>
      <c r="AE15" s="720">
        <f>'資料5.減価償却費個別内訳'!I14</f>
        <v>50000</v>
      </c>
      <c r="AF15" s="727"/>
      <c r="AG15" s="720">
        <f>'資料5.減価償却費個別内訳'!K14</f>
        <v>41666</v>
      </c>
      <c r="AH15" s="727"/>
      <c r="AI15" s="720">
        <f>'資料5.減価償却費個別内訳'!M14</f>
        <v>64350</v>
      </c>
      <c r="AJ15" s="727"/>
      <c r="AK15" s="720">
        <f>'資料5.減価償却費個別内訳'!O14</f>
        <v>0</v>
      </c>
      <c r="AL15" s="727"/>
      <c r="AM15" s="720">
        <f>'資料5.減価償却費個別内訳'!Q14</f>
        <v>0</v>
      </c>
      <c r="AN15" s="727"/>
      <c r="AO15" s="720">
        <f>'資料5.減価償却費個別内訳'!S14</f>
        <v>0</v>
      </c>
      <c r="AP15" s="727"/>
      <c r="AQ15" s="720">
        <f>'資料5.減価償却費個別内訳'!U14</f>
        <v>0</v>
      </c>
      <c r="AR15" s="727"/>
      <c r="AS15" s="720">
        <f>'資料5.減価償却費個別内訳'!W14</f>
        <v>0</v>
      </c>
      <c r="AT15" s="727"/>
    </row>
    <row r="16" spans="1:55" ht="19.5" customHeight="1">
      <c r="F16" s="500"/>
      <c r="G16" s="500"/>
      <c r="H16" s="526"/>
      <c r="I16" s="544"/>
      <c r="J16" s="544"/>
      <c r="K16" s="544"/>
      <c r="L16" s="585"/>
      <c r="M16" s="516"/>
      <c r="N16" s="516"/>
      <c r="O16" s="415"/>
      <c r="P16" s="544"/>
      <c r="Q16" s="643"/>
      <c r="R16" s="652"/>
      <c r="S16" s="652"/>
      <c r="T16" s="652"/>
      <c r="U16" s="652"/>
      <c r="W16" s="457">
        <v>10</v>
      </c>
      <c r="X16" s="463" t="str">
        <f>'資料1.参加者及び面積'!$F12</f>
        <v>矢上八郎</v>
      </c>
      <c r="Y16" s="699">
        <f t="shared" si="3"/>
        <v>201200</v>
      </c>
      <c r="Z16" s="711">
        <f t="shared" si="4"/>
        <v>201200</v>
      </c>
      <c r="AA16" s="720">
        <f>'資料5.減価償却費個別内訳'!E15</f>
        <v>32771</v>
      </c>
      <c r="AB16" s="727"/>
      <c r="AC16" s="720">
        <f>'資料5.減価償却費個別内訳'!G15</f>
        <v>12413</v>
      </c>
      <c r="AD16" s="727"/>
      <c r="AE16" s="720">
        <f>'資料5.減価償却費個別内訳'!I15</f>
        <v>50000</v>
      </c>
      <c r="AF16" s="727"/>
      <c r="AG16" s="720">
        <f>'資料5.減価償却費個別内訳'!K15</f>
        <v>41666</v>
      </c>
      <c r="AH16" s="727"/>
      <c r="AI16" s="720">
        <f>'資料5.減価償却費個別内訳'!M15</f>
        <v>64350</v>
      </c>
      <c r="AJ16" s="727"/>
      <c r="AK16" s="720">
        <f>'資料5.減価償却費個別内訳'!O15</f>
        <v>0</v>
      </c>
      <c r="AL16" s="727"/>
      <c r="AM16" s="720">
        <f>'資料5.減価償却費個別内訳'!Q15</f>
        <v>0</v>
      </c>
      <c r="AN16" s="727"/>
      <c r="AO16" s="720">
        <f>'資料5.減価償却費個別内訳'!S15</f>
        <v>0</v>
      </c>
      <c r="AP16" s="727"/>
      <c r="AQ16" s="720">
        <f>'資料5.減価償却費個別内訳'!U15</f>
        <v>0</v>
      </c>
      <c r="AR16" s="727"/>
      <c r="AS16" s="720">
        <f>'資料5.減価償却費個別内訳'!W15</f>
        <v>0</v>
      </c>
      <c r="AT16" s="727"/>
    </row>
    <row r="17" spans="1:46" ht="19.5" customHeight="1">
      <c r="F17" s="500" t="s">
        <v>168</v>
      </c>
      <c r="G17" s="500"/>
      <c r="H17" s="526"/>
      <c r="I17" s="544"/>
      <c r="J17" s="544"/>
      <c r="K17" s="544"/>
      <c r="L17" s="585"/>
      <c r="M17" s="516"/>
      <c r="N17" s="516"/>
      <c r="O17" s="415"/>
      <c r="P17" s="544"/>
      <c r="Q17" s="643"/>
      <c r="R17" s="652"/>
      <c r="S17" s="652"/>
      <c r="T17" s="652"/>
      <c r="U17" s="652"/>
      <c r="W17" s="457">
        <v>11</v>
      </c>
      <c r="X17" s="463" t="str">
        <f>'資料1.参加者及び面積'!$F13</f>
        <v>日和九郎</v>
      </c>
      <c r="Y17" s="699">
        <f t="shared" si="3"/>
        <v>201200</v>
      </c>
      <c r="Z17" s="711">
        <f t="shared" si="4"/>
        <v>201200</v>
      </c>
      <c r="AA17" s="720">
        <f>'資料5.減価償却費個別内訳'!E16</f>
        <v>32771</v>
      </c>
      <c r="AB17" s="727"/>
      <c r="AC17" s="720">
        <f>'資料5.減価償却費個別内訳'!G16</f>
        <v>12413</v>
      </c>
      <c r="AD17" s="727"/>
      <c r="AE17" s="720">
        <f>'資料5.減価償却費個別内訳'!I16</f>
        <v>50000</v>
      </c>
      <c r="AF17" s="727"/>
      <c r="AG17" s="720">
        <f>'資料5.減価償却費個別内訳'!K16</f>
        <v>41666</v>
      </c>
      <c r="AH17" s="727"/>
      <c r="AI17" s="720">
        <f>'資料5.減価償却費個別内訳'!M16</f>
        <v>64350</v>
      </c>
      <c r="AJ17" s="727"/>
      <c r="AK17" s="720">
        <f>'資料5.減価償却費個別内訳'!O16</f>
        <v>0</v>
      </c>
      <c r="AL17" s="727"/>
      <c r="AM17" s="720">
        <f>'資料5.減価償却費個別内訳'!Q16</f>
        <v>0</v>
      </c>
      <c r="AN17" s="727"/>
      <c r="AO17" s="720">
        <f>'資料5.減価償却費個別内訳'!S16</f>
        <v>0</v>
      </c>
      <c r="AP17" s="727"/>
      <c r="AQ17" s="720">
        <f>'資料5.減価償却費個別内訳'!U16</f>
        <v>0</v>
      </c>
      <c r="AR17" s="727"/>
      <c r="AS17" s="720">
        <f>'資料5.減価償却費個別内訳'!W16</f>
        <v>0</v>
      </c>
      <c r="AT17" s="727"/>
    </row>
    <row r="18" spans="1:46" ht="19.5" customHeight="1">
      <c r="F18" s="497"/>
      <c r="G18" s="506" t="s">
        <v>62</v>
      </c>
      <c r="H18" s="527" t="s">
        <v>66</v>
      </c>
      <c r="I18" s="527" t="s">
        <v>67</v>
      </c>
      <c r="J18" s="527"/>
      <c r="K18" s="567"/>
      <c r="L18" s="586" t="s">
        <v>155</v>
      </c>
      <c r="M18" s="527" t="s">
        <v>64</v>
      </c>
      <c r="N18" s="527"/>
      <c r="O18" s="595" t="s">
        <v>196</v>
      </c>
      <c r="P18" s="626" t="s">
        <v>122</v>
      </c>
      <c r="Q18" s="639"/>
      <c r="R18" s="567" t="s">
        <v>68</v>
      </c>
      <c r="S18" s="666"/>
      <c r="T18" s="673"/>
      <c r="U18" s="516"/>
      <c r="W18" s="457">
        <v>12</v>
      </c>
      <c r="X18" s="463" t="str">
        <f>'資料1.参加者及び面積'!$F14</f>
        <v>日貫十兵衛</v>
      </c>
      <c r="Y18" s="699">
        <f t="shared" si="3"/>
        <v>201200</v>
      </c>
      <c r="Z18" s="711">
        <f t="shared" si="4"/>
        <v>201200</v>
      </c>
      <c r="AA18" s="720">
        <f>'資料5.減価償却費個別内訳'!E17</f>
        <v>32771</v>
      </c>
      <c r="AB18" s="727"/>
      <c r="AC18" s="720">
        <f>'資料5.減価償却費個別内訳'!G17</f>
        <v>12413</v>
      </c>
      <c r="AD18" s="727"/>
      <c r="AE18" s="720">
        <f>'資料5.減価償却費個別内訳'!I17</f>
        <v>50000</v>
      </c>
      <c r="AF18" s="727"/>
      <c r="AG18" s="720">
        <f>'資料5.減価償却費個別内訳'!K17</f>
        <v>41666</v>
      </c>
      <c r="AH18" s="727"/>
      <c r="AI18" s="720">
        <f>'資料5.減価償却費個別内訳'!M17</f>
        <v>64350</v>
      </c>
      <c r="AJ18" s="727"/>
      <c r="AK18" s="720">
        <f>'資料5.減価償却費個別内訳'!O17</f>
        <v>0</v>
      </c>
      <c r="AL18" s="727"/>
      <c r="AM18" s="720">
        <f>'資料5.減価償却費個別内訳'!Q17</f>
        <v>0</v>
      </c>
      <c r="AN18" s="727"/>
      <c r="AO18" s="720">
        <f>'資料5.減価償却費個別内訳'!S17</f>
        <v>0</v>
      </c>
      <c r="AP18" s="727"/>
      <c r="AQ18" s="720">
        <f>'資料5.減価償却費個別内訳'!U17</f>
        <v>0</v>
      </c>
      <c r="AR18" s="727"/>
      <c r="AS18" s="720">
        <f>'資料5.減価償却費個別内訳'!W17</f>
        <v>0</v>
      </c>
      <c r="AT18" s="727"/>
    </row>
    <row r="19" spans="1:46" ht="19.5" customHeight="1">
      <c r="A19" s="375">
        <f>IF(ISBLANK(G19),"",1+MAX($A$5:$A$14))</f>
        <v>11</v>
      </c>
      <c r="B19" s="375" t="s">
        <v>94</v>
      </c>
      <c r="C19" s="375" t="str">
        <f>IF($Q19="ⓐ",COUNTIF($Q$5:Q19,"ⓐ"),"")</f>
        <v/>
      </c>
      <c r="D19" s="375" t="str">
        <f>IF($Q19="ⓑ",COUNTIF($Q$5:R19,"ⓑ"),"")</f>
        <v/>
      </c>
      <c r="E19" s="375">
        <f>IF($Q19="ⓒ",COUNTIF($Q$19:Q19,"ⓒ"),"")</f>
        <v>1</v>
      </c>
      <c r="F19" s="498">
        <v>1</v>
      </c>
      <c r="G19" s="511" t="s">
        <v>27</v>
      </c>
      <c r="H19" s="523" t="s">
        <v>257</v>
      </c>
      <c r="I19" s="545">
        <v>5400000</v>
      </c>
      <c r="J19" s="545"/>
      <c r="K19" s="568"/>
      <c r="L19" s="587"/>
      <c r="M19" s="599">
        <v>12</v>
      </c>
      <c r="N19" s="599"/>
      <c r="O19" s="619"/>
      <c r="P19" s="623">
        <f t="shared" ref="P19:P28" si="5">IF(ISBLANK(I19),"",INT(I19/M19))</f>
        <v>450000</v>
      </c>
      <c r="Q19" s="640" t="str">
        <f t="shared" ref="Q19:Q28" si="6">IF(ISNUMBER(P19),IF(AND(P19&gt;0,P19&lt;100000),"ⓐ",IF(P19&gt;=200000,"ⓒ","ⓑ")),"")</f>
        <v>ⓒ</v>
      </c>
      <c r="R19" s="649" t="s">
        <v>237</v>
      </c>
      <c r="S19" s="585"/>
      <c r="T19" s="674"/>
      <c r="U19" s="680"/>
      <c r="W19" s="457">
        <v>13</v>
      </c>
      <c r="X19" s="463">
        <f>'資料1.参加者及び面積'!$F15</f>
        <v>0</v>
      </c>
      <c r="Y19" s="699">
        <f t="shared" si="3"/>
        <v>0</v>
      </c>
      <c r="Z19" s="711">
        <f t="shared" si="4"/>
        <v>0</v>
      </c>
      <c r="AA19" s="720">
        <f>'資料5.減価償却費個別内訳'!E18</f>
        <v>0</v>
      </c>
      <c r="AB19" s="727"/>
      <c r="AC19" s="720">
        <f>'資料5.減価償却費個別内訳'!G18</f>
        <v>0</v>
      </c>
      <c r="AD19" s="727"/>
      <c r="AE19" s="720">
        <f>'資料5.減価償却費個別内訳'!I18</f>
        <v>0</v>
      </c>
      <c r="AF19" s="727"/>
      <c r="AG19" s="720">
        <f>'資料5.減価償却費個別内訳'!K18</f>
        <v>0</v>
      </c>
      <c r="AH19" s="727"/>
      <c r="AI19" s="720">
        <f>'資料5.減価償却費個別内訳'!M18</f>
        <v>0</v>
      </c>
      <c r="AJ19" s="727"/>
      <c r="AK19" s="720">
        <f>'資料5.減価償却費個別内訳'!O18</f>
        <v>0</v>
      </c>
      <c r="AL19" s="727"/>
      <c r="AM19" s="720">
        <f>'資料5.減価償却費個別内訳'!Q18</f>
        <v>0</v>
      </c>
      <c r="AN19" s="727"/>
      <c r="AO19" s="720">
        <f>'資料5.減価償却費個別内訳'!S18</f>
        <v>0</v>
      </c>
      <c r="AP19" s="727"/>
      <c r="AQ19" s="720">
        <f>'資料5.減価償却費個別内訳'!U18</f>
        <v>0</v>
      </c>
      <c r="AR19" s="727"/>
      <c r="AS19" s="720">
        <f>'資料5.減価償却費個別内訳'!W18</f>
        <v>0</v>
      </c>
      <c r="AT19" s="727"/>
    </row>
    <row r="20" spans="1:46" ht="19.5" customHeight="1">
      <c r="A20" s="375" t="str">
        <f t="shared" ref="A20:A28" si="7">IF(ISBLANK(G20),"",1+A19)</f>
        <v/>
      </c>
      <c r="B20" s="375" t="s">
        <v>94</v>
      </c>
      <c r="C20" s="375" t="str">
        <f>IF($Q20="ⓐ",COUNTIF($Q$5:Q20,"ⓐ"),"")</f>
        <v/>
      </c>
      <c r="D20" s="375" t="str">
        <f>IF($Q20="ⓑ",COUNTIF($Q$5:R20,"ⓑ"),"")</f>
        <v/>
      </c>
      <c r="E20" s="375" t="str">
        <f>IF($Q20="ⓒ",COUNTIF($Q$19:Q20,"ⓒ"),"")</f>
        <v/>
      </c>
      <c r="F20" s="498">
        <v>2</v>
      </c>
      <c r="G20" s="511"/>
      <c r="H20" s="528"/>
      <c r="I20" s="546"/>
      <c r="J20" s="546"/>
      <c r="K20" s="569"/>
      <c r="L20" s="587"/>
      <c r="M20" s="601"/>
      <c r="N20" s="601"/>
      <c r="O20" s="619"/>
      <c r="P20" s="627" t="str">
        <f t="shared" si="5"/>
        <v/>
      </c>
      <c r="Q20" s="640" t="str">
        <f t="shared" si="6"/>
        <v/>
      </c>
      <c r="R20" s="650"/>
      <c r="S20" s="585"/>
      <c r="T20" s="674"/>
      <c r="U20" s="397"/>
      <c r="W20" s="457">
        <v>14</v>
      </c>
      <c r="X20" s="463">
        <f>'資料1.参加者及び面積'!$F16</f>
        <v>0</v>
      </c>
      <c r="Y20" s="699">
        <f t="shared" si="3"/>
        <v>0</v>
      </c>
      <c r="Z20" s="711">
        <f t="shared" si="4"/>
        <v>0</v>
      </c>
      <c r="AA20" s="720">
        <f>'資料5.減価償却費個別内訳'!E19</f>
        <v>0</v>
      </c>
      <c r="AB20" s="727"/>
      <c r="AC20" s="720">
        <f>'資料5.減価償却費個別内訳'!G19</f>
        <v>0</v>
      </c>
      <c r="AD20" s="727"/>
      <c r="AE20" s="720">
        <f>'資料5.減価償却費個別内訳'!I19</f>
        <v>0</v>
      </c>
      <c r="AF20" s="727"/>
      <c r="AG20" s="720">
        <f>'資料5.減価償却費個別内訳'!K19</f>
        <v>0</v>
      </c>
      <c r="AH20" s="727"/>
      <c r="AI20" s="720">
        <f>'資料5.減価償却費個別内訳'!M19</f>
        <v>0</v>
      </c>
      <c r="AJ20" s="727"/>
      <c r="AK20" s="720">
        <f>'資料5.減価償却費個別内訳'!O19</f>
        <v>0</v>
      </c>
      <c r="AL20" s="727"/>
      <c r="AM20" s="720">
        <f>'資料5.減価償却費個別内訳'!Q19</f>
        <v>0</v>
      </c>
      <c r="AN20" s="727"/>
      <c r="AO20" s="720">
        <f>'資料5.減価償却費個別内訳'!S19</f>
        <v>0</v>
      </c>
      <c r="AP20" s="727"/>
      <c r="AQ20" s="720">
        <f>'資料5.減価償却費個別内訳'!U19</f>
        <v>0</v>
      </c>
      <c r="AR20" s="727"/>
      <c r="AS20" s="720">
        <f>'資料5.減価償却費個別内訳'!W19</f>
        <v>0</v>
      </c>
      <c r="AT20" s="727"/>
    </row>
    <row r="21" spans="1:46" ht="19.5" customHeight="1">
      <c r="A21" s="375" t="str">
        <f t="shared" si="7"/>
        <v/>
      </c>
      <c r="B21" s="375" t="s">
        <v>94</v>
      </c>
      <c r="C21" s="375" t="str">
        <f>IF($Q21="ⓐ",COUNTIF($Q$5:Q21,"ⓐ"),"")</f>
        <v/>
      </c>
      <c r="D21" s="375" t="str">
        <f>IF($Q21="ⓑ",COUNTIF($Q$5:R21,"ⓑ"),"")</f>
        <v/>
      </c>
      <c r="E21" s="375" t="str">
        <f>IF($Q21="ⓒ",COUNTIF($Q$19:Q21,"ⓒ"),"")</f>
        <v/>
      </c>
      <c r="F21" s="498">
        <v>3</v>
      </c>
      <c r="G21" s="511"/>
      <c r="H21" s="528"/>
      <c r="I21" s="546"/>
      <c r="J21" s="546"/>
      <c r="K21" s="569"/>
      <c r="L21" s="587"/>
      <c r="M21" s="601"/>
      <c r="N21" s="601"/>
      <c r="O21" s="619"/>
      <c r="P21" s="627" t="str">
        <f t="shared" si="5"/>
        <v/>
      </c>
      <c r="Q21" s="640" t="str">
        <f t="shared" si="6"/>
        <v/>
      </c>
      <c r="R21" s="650"/>
      <c r="S21" s="585"/>
      <c r="T21" s="674"/>
      <c r="U21" s="397"/>
      <c r="W21" s="457">
        <v>15</v>
      </c>
      <c r="X21" s="463">
        <f>'資料1.参加者及び面積'!$F17</f>
        <v>0</v>
      </c>
      <c r="Y21" s="699">
        <f t="shared" si="3"/>
        <v>0</v>
      </c>
      <c r="Z21" s="711">
        <f t="shared" si="4"/>
        <v>0</v>
      </c>
      <c r="AA21" s="720">
        <f>'資料5.減価償却費個別内訳'!E20</f>
        <v>0</v>
      </c>
      <c r="AB21" s="727"/>
      <c r="AC21" s="720">
        <f>'資料5.減価償却費個別内訳'!G20</f>
        <v>0</v>
      </c>
      <c r="AD21" s="727"/>
      <c r="AE21" s="720">
        <f>'資料5.減価償却費個別内訳'!I20</f>
        <v>0</v>
      </c>
      <c r="AF21" s="727"/>
      <c r="AG21" s="720">
        <f>'資料5.減価償却費個別内訳'!K20</f>
        <v>0</v>
      </c>
      <c r="AH21" s="727"/>
      <c r="AI21" s="720">
        <f>'資料5.減価償却費個別内訳'!M20</f>
        <v>0</v>
      </c>
      <c r="AJ21" s="727"/>
      <c r="AK21" s="720">
        <f>'資料5.減価償却費個別内訳'!O20</f>
        <v>0</v>
      </c>
      <c r="AL21" s="727"/>
      <c r="AM21" s="720">
        <f>'資料5.減価償却費個別内訳'!Q20</f>
        <v>0</v>
      </c>
      <c r="AN21" s="727"/>
      <c r="AO21" s="720">
        <f>'資料5.減価償却費個別内訳'!S20</f>
        <v>0</v>
      </c>
      <c r="AP21" s="727"/>
      <c r="AQ21" s="720">
        <f>'資料5.減価償却費個別内訳'!U20</f>
        <v>0</v>
      </c>
      <c r="AR21" s="727"/>
      <c r="AS21" s="720">
        <f>'資料5.減価償却費個別内訳'!W20</f>
        <v>0</v>
      </c>
      <c r="AT21" s="727"/>
    </row>
    <row r="22" spans="1:46" ht="19.5" customHeight="1">
      <c r="A22" s="375" t="str">
        <f t="shared" si="7"/>
        <v/>
      </c>
      <c r="B22" s="375" t="s">
        <v>94</v>
      </c>
      <c r="C22" s="375" t="str">
        <f>IF($Q22="ⓐ",COUNTIF($Q$5:Q22,"ⓐ"),"")</f>
        <v/>
      </c>
      <c r="D22" s="375" t="str">
        <f>IF($Q22="ⓑ",COUNTIF($Q$5:R22,"ⓑ"),"")</f>
        <v/>
      </c>
      <c r="E22" s="375" t="str">
        <f>IF($Q22="ⓒ",COUNTIF($Q$19:Q22,"ⓒ"),"")</f>
        <v/>
      </c>
      <c r="F22" s="498">
        <v>4</v>
      </c>
      <c r="G22" s="511"/>
      <c r="H22" s="528"/>
      <c r="I22" s="546"/>
      <c r="J22" s="546"/>
      <c r="K22" s="569"/>
      <c r="L22" s="587"/>
      <c r="M22" s="601"/>
      <c r="N22" s="601"/>
      <c r="O22" s="619"/>
      <c r="P22" s="627" t="str">
        <f t="shared" si="5"/>
        <v/>
      </c>
      <c r="Q22" s="640" t="str">
        <f t="shared" si="6"/>
        <v/>
      </c>
      <c r="R22" s="650"/>
      <c r="S22" s="585"/>
      <c r="T22" s="674"/>
      <c r="U22" s="397"/>
      <c r="W22" s="457">
        <v>16</v>
      </c>
      <c r="X22" s="463">
        <f>'資料1.参加者及び面積'!$F18</f>
        <v>0</v>
      </c>
      <c r="Y22" s="699">
        <f t="shared" si="3"/>
        <v>0</v>
      </c>
      <c r="Z22" s="711">
        <f t="shared" si="4"/>
        <v>0</v>
      </c>
      <c r="AA22" s="720">
        <f>'資料5.減価償却費個別内訳'!E21</f>
        <v>0</v>
      </c>
      <c r="AB22" s="727"/>
      <c r="AC22" s="720">
        <f>'資料5.減価償却費個別内訳'!G21</f>
        <v>0</v>
      </c>
      <c r="AD22" s="727"/>
      <c r="AE22" s="720">
        <f>'資料5.減価償却費個別内訳'!I21</f>
        <v>0</v>
      </c>
      <c r="AF22" s="727"/>
      <c r="AG22" s="720">
        <f>'資料5.減価償却費個別内訳'!K21</f>
        <v>0</v>
      </c>
      <c r="AH22" s="727"/>
      <c r="AI22" s="720">
        <f>'資料5.減価償却費個別内訳'!M21</f>
        <v>0</v>
      </c>
      <c r="AJ22" s="727"/>
      <c r="AK22" s="720">
        <f>'資料5.減価償却費個別内訳'!O21</f>
        <v>0</v>
      </c>
      <c r="AL22" s="727"/>
      <c r="AM22" s="720">
        <f>'資料5.減価償却費個別内訳'!Q21</f>
        <v>0</v>
      </c>
      <c r="AN22" s="727"/>
      <c r="AO22" s="720">
        <f>'資料5.減価償却費個別内訳'!S21</f>
        <v>0</v>
      </c>
      <c r="AP22" s="727"/>
      <c r="AQ22" s="720">
        <f>'資料5.減価償却費個別内訳'!U21</f>
        <v>0</v>
      </c>
      <c r="AR22" s="727"/>
      <c r="AS22" s="720">
        <f>'資料5.減価償却費個別内訳'!W21</f>
        <v>0</v>
      </c>
      <c r="AT22" s="727"/>
    </row>
    <row r="23" spans="1:46" ht="19.5" customHeight="1">
      <c r="A23" s="375" t="str">
        <f t="shared" si="7"/>
        <v/>
      </c>
      <c r="B23" s="375" t="s">
        <v>94</v>
      </c>
      <c r="C23" s="375" t="str">
        <f>IF($Q23="ⓐ",COUNTIF($Q$5:Q23,"ⓐ"),"")</f>
        <v/>
      </c>
      <c r="D23" s="375" t="str">
        <f>IF($Q23="ⓑ",COUNTIF($Q$5:R23,"ⓑ"),"")</f>
        <v/>
      </c>
      <c r="E23" s="375" t="str">
        <f>IF($Q23="ⓒ",COUNTIF($Q$19:Q23,"ⓒ"),"")</f>
        <v/>
      </c>
      <c r="F23" s="498">
        <v>5</v>
      </c>
      <c r="G23" s="512"/>
      <c r="H23" s="529"/>
      <c r="I23" s="546"/>
      <c r="J23" s="546"/>
      <c r="K23" s="569"/>
      <c r="L23" s="587"/>
      <c r="M23" s="601"/>
      <c r="N23" s="601"/>
      <c r="O23" s="619"/>
      <c r="P23" s="627" t="str">
        <f t="shared" si="5"/>
        <v/>
      </c>
      <c r="Q23" s="640" t="str">
        <f t="shared" si="6"/>
        <v/>
      </c>
      <c r="R23" s="650"/>
      <c r="S23" s="585"/>
      <c r="T23" s="674"/>
      <c r="U23" s="397"/>
      <c r="W23" s="457">
        <v>17</v>
      </c>
      <c r="X23" s="463">
        <f>'資料1.参加者及び面積'!$F19</f>
        <v>0</v>
      </c>
      <c r="Y23" s="699">
        <f t="shared" si="3"/>
        <v>0</v>
      </c>
      <c r="Z23" s="711">
        <f t="shared" si="4"/>
        <v>0</v>
      </c>
      <c r="AA23" s="720">
        <f>'資料5.減価償却費個別内訳'!E22</f>
        <v>0</v>
      </c>
      <c r="AB23" s="727"/>
      <c r="AC23" s="720">
        <f>'資料5.減価償却費個別内訳'!G22</f>
        <v>0</v>
      </c>
      <c r="AD23" s="727"/>
      <c r="AE23" s="720">
        <f>'資料5.減価償却費個別内訳'!I22</f>
        <v>0</v>
      </c>
      <c r="AF23" s="727"/>
      <c r="AG23" s="720">
        <f>'資料5.減価償却費個別内訳'!K22</f>
        <v>0</v>
      </c>
      <c r="AH23" s="727"/>
      <c r="AI23" s="720">
        <f>'資料5.減価償却費個別内訳'!M22</f>
        <v>0</v>
      </c>
      <c r="AJ23" s="727"/>
      <c r="AK23" s="720">
        <f>'資料5.減価償却費個別内訳'!O22</f>
        <v>0</v>
      </c>
      <c r="AL23" s="727"/>
      <c r="AM23" s="720">
        <f>'資料5.減価償却費個別内訳'!Q22</f>
        <v>0</v>
      </c>
      <c r="AN23" s="727"/>
      <c r="AO23" s="720">
        <f>'資料5.減価償却費個別内訳'!S22</f>
        <v>0</v>
      </c>
      <c r="AP23" s="727"/>
      <c r="AQ23" s="720">
        <f>'資料5.減価償却費個別内訳'!U22</f>
        <v>0</v>
      </c>
      <c r="AR23" s="727"/>
      <c r="AS23" s="720">
        <f>'資料5.減価償却費個別内訳'!W22</f>
        <v>0</v>
      </c>
      <c r="AT23" s="727"/>
    </row>
    <row r="24" spans="1:46" ht="19.5" customHeight="1">
      <c r="A24" s="375" t="str">
        <f t="shared" si="7"/>
        <v/>
      </c>
      <c r="B24" s="375" t="s">
        <v>94</v>
      </c>
      <c r="C24" s="375" t="str">
        <f>IF($Q24="ⓐ",COUNTIF($Q$5:Q24,"ⓐ"),"")</f>
        <v/>
      </c>
      <c r="D24" s="375" t="str">
        <f>IF($Q24="ⓑ",COUNTIF($Q$5:R24,"ⓑ"),"")</f>
        <v/>
      </c>
      <c r="E24" s="375" t="str">
        <f>IF($Q24="ⓒ",COUNTIF($Q$19:Q24,"ⓒ"),"")</f>
        <v/>
      </c>
      <c r="F24" s="498">
        <v>6</v>
      </c>
      <c r="G24" s="512"/>
      <c r="H24" s="529"/>
      <c r="I24" s="546"/>
      <c r="J24" s="546"/>
      <c r="K24" s="569"/>
      <c r="L24" s="587"/>
      <c r="M24" s="601"/>
      <c r="N24" s="601"/>
      <c r="O24" s="619"/>
      <c r="P24" s="627" t="str">
        <f t="shared" si="5"/>
        <v/>
      </c>
      <c r="Q24" s="640" t="str">
        <f t="shared" si="6"/>
        <v/>
      </c>
      <c r="R24" s="650"/>
      <c r="S24" s="585"/>
      <c r="T24" s="674"/>
      <c r="U24" s="397"/>
      <c r="W24" s="457">
        <v>18</v>
      </c>
      <c r="X24" s="463">
        <f>'資料1.参加者及び面積'!$F20</f>
        <v>0</v>
      </c>
      <c r="Y24" s="699">
        <f t="shared" si="3"/>
        <v>0</v>
      </c>
      <c r="Z24" s="711">
        <f t="shared" si="4"/>
        <v>0</v>
      </c>
      <c r="AA24" s="720">
        <f>'資料5.減価償却費個別内訳'!E23</f>
        <v>0</v>
      </c>
      <c r="AB24" s="727"/>
      <c r="AC24" s="720">
        <f>'資料5.減価償却費個別内訳'!G23</f>
        <v>0</v>
      </c>
      <c r="AD24" s="727"/>
      <c r="AE24" s="720">
        <f>'資料5.減価償却費個別内訳'!I23</f>
        <v>0</v>
      </c>
      <c r="AF24" s="727"/>
      <c r="AG24" s="720">
        <f>'資料5.減価償却費個別内訳'!K23</f>
        <v>0</v>
      </c>
      <c r="AH24" s="727"/>
      <c r="AI24" s="720">
        <f>'資料5.減価償却費個別内訳'!M23</f>
        <v>0</v>
      </c>
      <c r="AJ24" s="727"/>
      <c r="AK24" s="720">
        <f>'資料5.減価償却費個別内訳'!O23</f>
        <v>0</v>
      </c>
      <c r="AL24" s="727"/>
      <c r="AM24" s="720">
        <f>'資料5.減価償却費個別内訳'!Q23</f>
        <v>0</v>
      </c>
      <c r="AN24" s="727"/>
      <c r="AO24" s="720">
        <f>'資料5.減価償却費個別内訳'!S23</f>
        <v>0</v>
      </c>
      <c r="AP24" s="727"/>
      <c r="AQ24" s="720">
        <f>'資料5.減価償却費個別内訳'!U23</f>
        <v>0</v>
      </c>
      <c r="AR24" s="727"/>
      <c r="AS24" s="720">
        <f>'資料5.減価償却費個別内訳'!W23</f>
        <v>0</v>
      </c>
      <c r="AT24" s="727"/>
    </row>
    <row r="25" spans="1:46" ht="19.5" customHeight="1">
      <c r="A25" s="375" t="str">
        <f t="shared" si="7"/>
        <v/>
      </c>
      <c r="B25" s="375" t="s">
        <v>94</v>
      </c>
      <c r="C25" s="375" t="str">
        <f>IF($Q25="ⓐ",COUNTIF($Q$5:Q25,"ⓐ"),"")</f>
        <v/>
      </c>
      <c r="D25" s="375" t="str">
        <f>IF($Q25="ⓑ",COUNTIF($Q$5:R25,"ⓑ"),"")</f>
        <v/>
      </c>
      <c r="E25" s="375" t="str">
        <f>IF($Q25="ⓒ",COUNTIF($Q$19:Q25,"ⓒ"),"")</f>
        <v/>
      </c>
      <c r="F25" s="498">
        <v>7</v>
      </c>
      <c r="G25" s="512"/>
      <c r="H25" s="529"/>
      <c r="I25" s="546"/>
      <c r="J25" s="546"/>
      <c r="K25" s="569"/>
      <c r="L25" s="587"/>
      <c r="M25" s="601"/>
      <c r="N25" s="601"/>
      <c r="O25" s="619"/>
      <c r="P25" s="627" t="str">
        <f t="shared" si="5"/>
        <v/>
      </c>
      <c r="Q25" s="640" t="str">
        <f t="shared" si="6"/>
        <v/>
      </c>
      <c r="R25" s="650"/>
      <c r="S25" s="585"/>
      <c r="T25" s="674"/>
      <c r="U25" s="397"/>
      <c r="W25" s="457">
        <v>19</v>
      </c>
      <c r="X25" s="463">
        <f>'資料1.参加者及び面積'!$F21</f>
        <v>0</v>
      </c>
      <c r="Y25" s="699">
        <f t="shared" si="3"/>
        <v>0</v>
      </c>
      <c r="Z25" s="711">
        <f t="shared" si="4"/>
        <v>0</v>
      </c>
      <c r="AA25" s="720">
        <f>'資料5.減価償却費個別内訳'!E24</f>
        <v>0</v>
      </c>
      <c r="AB25" s="727"/>
      <c r="AC25" s="720">
        <f>'資料5.減価償却費個別内訳'!G24</f>
        <v>0</v>
      </c>
      <c r="AD25" s="727"/>
      <c r="AE25" s="720">
        <f>'資料5.減価償却費個別内訳'!I24</f>
        <v>0</v>
      </c>
      <c r="AF25" s="727"/>
      <c r="AG25" s="720">
        <f>'資料5.減価償却費個別内訳'!K24</f>
        <v>0</v>
      </c>
      <c r="AH25" s="727"/>
      <c r="AI25" s="720">
        <f>'資料5.減価償却費個別内訳'!M24</f>
        <v>0</v>
      </c>
      <c r="AJ25" s="727"/>
      <c r="AK25" s="720">
        <f>'資料5.減価償却費個別内訳'!O24</f>
        <v>0</v>
      </c>
      <c r="AL25" s="727"/>
      <c r="AM25" s="720">
        <f>'資料5.減価償却費個別内訳'!Q24</f>
        <v>0</v>
      </c>
      <c r="AN25" s="727"/>
      <c r="AO25" s="720">
        <f>'資料5.減価償却費個別内訳'!S24</f>
        <v>0</v>
      </c>
      <c r="AP25" s="727"/>
      <c r="AQ25" s="720">
        <f>'資料5.減価償却費個別内訳'!U24</f>
        <v>0</v>
      </c>
      <c r="AR25" s="727"/>
      <c r="AS25" s="720">
        <f>'資料5.減価償却費個別内訳'!W24</f>
        <v>0</v>
      </c>
      <c r="AT25" s="727"/>
    </row>
    <row r="26" spans="1:46" ht="19.5" customHeight="1">
      <c r="A26" s="375" t="str">
        <f t="shared" si="7"/>
        <v/>
      </c>
      <c r="B26" s="375" t="s">
        <v>94</v>
      </c>
      <c r="C26" s="375" t="str">
        <f>IF($Q26="ⓐ",COUNTIF($Q$5:Q26,"ⓐ"),"")</f>
        <v/>
      </c>
      <c r="D26" s="375" t="str">
        <f>IF($Q26="ⓑ",COUNTIF($Q$5:R26,"ⓑ"),"")</f>
        <v/>
      </c>
      <c r="E26" s="375" t="str">
        <f>IF($Q26="ⓒ",COUNTIF($Q$19:Q26,"ⓒ"),"")</f>
        <v/>
      </c>
      <c r="F26" s="498">
        <v>8</v>
      </c>
      <c r="G26" s="512"/>
      <c r="H26" s="529"/>
      <c r="I26" s="546"/>
      <c r="J26" s="546"/>
      <c r="K26" s="569"/>
      <c r="L26" s="587"/>
      <c r="M26" s="601"/>
      <c r="N26" s="601"/>
      <c r="O26" s="619"/>
      <c r="P26" s="627" t="str">
        <f t="shared" si="5"/>
        <v/>
      </c>
      <c r="Q26" s="640" t="str">
        <f t="shared" si="6"/>
        <v/>
      </c>
      <c r="R26" s="650"/>
      <c r="S26" s="585"/>
      <c r="T26" s="674"/>
      <c r="U26" s="397"/>
      <c r="W26" s="457">
        <v>20</v>
      </c>
      <c r="X26" s="463">
        <f>'資料1.参加者及び面積'!$F22</f>
        <v>0</v>
      </c>
      <c r="Y26" s="699">
        <f t="shared" si="3"/>
        <v>0</v>
      </c>
      <c r="Z26" s="711">
        <f t="shared" si="4"/>
        <v>0</v>
      </c>
      <c r="AA26" s="720">
        <f>'資料5.減価償却費個別内訳'!E25</f>
        <v>0</v>
      </c>
      <c r="AB26" s="727"/>
      <c r="AC26" s="720">
        <f>'資料5.減価償却費個別内訳'!G25</f>
        <v>0</v>
      </c>
      <c r="AD26" s="727"/>
      <c r="AE26" s="720">
        <f>'資料5.減価償却費個別内訳'!I25</f>
        <v>0</v>
      </c>
      <c r="AF26" s="727"/>
      <c r="AG26" s="720">
        <f>'資料5.減価償却費個別内訳'!K25</f>
        <v>0</v>
      </c>
      <c r="AH26" s="727"/>
      <c r="AI26" s="720">
        <f>'資料5.減価償却費個別内訳'!M25</f>
        <v>0</v>
      </c>
      <c r="AJ26" s="727"/>
      <c r="AK26" s="720">
        <f>'資料5.減価償却費個別内訳'!O25</f>
        <v>0</v>
      </c>
      <c r="AL26" s="727"/>
      <c r="AM26" s="720">
        <f>'資料5.減価償却費個別内訳'!Q25</f>
        <v>0</v>
      </c>
      <c r="AN26" s="727"/>
      <c r="AO26" s="720">
        <f>'資料5.減価償却費個別内訳'!S25</f>
        <v>0</v>
      </c>
      <c r="AP26" s="727"/>
      <c r="AQ26" s="720">
        <f>'資料5.減価償却費個別内訳'!U25</f>
        <v>0</v>
      </c>
      <c r="AR26" s="727"/>
      <c r="AS26" s="720">
        <f>'資料5.減価償却費個別内訳'!W25</f>
        <v>0</v>
      </c>
      <c r="AT26" s="727"/>
    </row>
    <row r="27" spans="1:46" ht="19.5" customHeight="1">
      <c r="A27" s="375" t="str">
        <f t="shared" si="7"/>
        <v/>
      </c>
      <c r="B27" s="375" t="s">
        <v>94</v>
      </c>
      <c r="C27" s="375" t="str">
        <f>IF($Q27="ⓐ",COUNTIF($Q$5:Q27,"ⓐ"),"")</f>
        <v/>
      </c>
      <c r="D27" s="375" t="str">
        <f>IF($Q27="ⓑ",COUNTIF($Q$5:R27,"ⓑ"),"")</f>
        <v/>
      </c>
      <c r="E27" s="375" t="str">
        <f>IF($Q27="ⓒ",COUNTIF($Q$19:Q27,"ⓒ"),"")</f>
        <v/>
      </c>
      <c r="F27" s="498">
        <v>9</v>
      </c>
      <c r="G27" s="512"/>
      <c r="H27" s="529"/>
      <c r="I27" s="546"/>
      <c r="J27" s="546"/>
      <c r="K27" s="569"/>
      <c r="L27" s="587"/>
      <c r="M27" s="601"/>
      <c r="N27" s="601"/>
      <c r="O27" s="619"/>
      <c r="P27" s="627" t="str">
        <f t="shared" si="5"/>
        <v/>
      </c>
      <c r="Q27" s="640" t="str">
        <f t="shared" si="6"/>
        <v/>
      </c>
      <c r="R27" s="650"/>
      <c r="S27" s="585"/>
      <c r="T27" s="674"/>
      <c r="U27" s="397"/>
      <c r="W27" s="457">
        <v>21</v>
      </c>
      <c r="X27" s="463">
        <f>'資料1.参加者及び面積'!$F23</f>
        <v>0</v>
      </c>
      <c r="Y27" s="699">
        <f t="shared" si="3"/>
        <v>0</v>
      </c>
      <c r="Z27" s="711">
        <f t="shared" si="4"/>
        <v>0</v>
      </c>
      <c r="AA27" s="720">
        <f>'資料5.減価償却費個別内訳'!E26</f>
        <v>0</v>
      </c>
      <c r="AB27" s="727"/>
      <c r="AC27" s="720">
        <f>'資料5.減価償却費個別内訳'!G26</f>
        <v>0</v>
      </c>
      <c r="AD27" s="727"/>
      <c r="AE27" s="720">
        <f>'資料5.減価償却費個別内訳'!I26</f>
        <v>0</v>
      </c>
      <c r="AF27" s="727"/>
      <c r="AG27" s="720">
        <f>'資料5.減価償却費個別内訳'!K26</f>
        <v>0</v>
      </c>
      <c r="AH27" s="727"/>
      <c r="AI27" s="720">
        <f>'資料5.減価償却費個別内訳'!M26</f>
        <v>0</v>
      </c>
      <c r="AJ27" s="727"/>
      <c r="AK27" s="720">
        <f>'資料5.減価償却費個別内訳'!O26</f>
        <v>0</v>
      </c>
      <c r="AL27" s="727"/>
      <c r="AM27" s="720">
        <f>'資料5.減価償却費個別内訳'!Q26</f>
        <v>0</v>
      </c>
      <c r="AN27" s="727"/>
      <c r="AO27" s="720">
        <f>'資料5.減価償却費個別内訳'!S26</f>
        <v>0</v>
      </c>
      <c r="AP27" s="727"/>
      <c r="AQ27" s="720">
        <f>'資料5.減価償却費個別内訳'!U26</f>
        <v>0</v>
      </c>
      <c r="AR27" s="727"/>
      <c r="AS27" s="720">
        <f>'資料5.減価償却費個別内訳'!W26</f>
        <v>0</v>
      </c>
      <c r="AT27" s="727"/>
    </row>
    <row r="28" spans="1:46" ht="19.5" customHeight="1">
      <c r="A28" s="375" t="str">
        <f t="shared" si="7"/>
        <v/>
      </c>
      <c r="B28" s="375" t="s">
        <v>94</v>
      </c>
      <c r="C28" s="375" t="str">
        <f>IF($Q28="ⓐ",COUNTIF($Q$5:Q28,"ⓐ"),"")</f>
        <v/>
      </c>
      <c r="D28" s="375" t="str">
        <f>IF($Q28="ⓑ",COUNTIF($Q$5:R28,"ⓑ"),"")</f>
        <v/>
      </c>
      <c r="E28" s="375" t="str">
        <f>IF($Q28="ⓒ",COUNTIF($Q$19:Q28,"ⓒ"),"")</f>
        <v/>
      </c>
      <c r="F28" s="499">
        <v>10</v>
      </c>
      <c r="G28" s="513"/>
      <c r="H28" s="530"/>
      <c r="I28" s="547"/>
      <c r="J28" s="547"/>
      <c r="K28" s="570"/>
      <c r="L28" s="588"/>
      <c r="M28" s="602"/>
      <c r="N28" s="602"/>
      <c r="O28" s="620"/>
      <c r="P28" s="628" t="str">
        <f t="shared" si="5"/>
        <v/>
      </c>
      <c r="Q28" s="641" t="str">
        <f t="shared" si="6"/>
        <v/>
      </c>
      <c r="R28" s="651"/>
      <c r="S28" s="667"/>
      <c r="T28" s="675"/>
      <c r="U28" s="397"/>
      <c r="W28" s="457">
        <v>22</v>
      </c>
      <c r="X28" s="463">
        <f>'資料1.参加者及び面積'!$F24</f>
        <v>0</v>
      </c>
      <c r="Y28" s="699">
        <f t="shared" si="3"/>
        <v>0</v>
      </c>
      <c r="Z28" s="711">
        <f t="shared" si="4"/>
        <v>0</v>
      </c>
      <c r="AA28" s="720">
        <f>'資料5.減価償却費個別内訳'!E27</f>
        <v>0</v>
      </c>
      <c r="AB28" s="727"/>
      <c r="AC28" s="720">
        <f>'資料5.減価償却費個別内訳'!G27</f>
        <v>0</v>
      </c>
      <c r="AD28" s="727"/>
      <c r="AE28" s="720">
        <f>'資料5.減価償却費個別内訳'!I27</f>
        <v>0</v>
      </c>
      <c r="AF28" s="727"/>
      <c r="AG28" s="720">
        <f>'資料5.減価償却費個別内訳'!K27</f>
        <v>0</v>
      </c>
      <c r="AH28" s="727"/>
      <c r="AI28" s="720">
        <f>'資料5.減価償却費個別内訳'!M27</f>
        <v>0</v>
      </c>
      <c r="AJ28" s="727"/>
      <c r="AK28" s="720">
        <f>'資料5.減価償却費個別内訳'!O27</f>
        <v>0</v>
      </c>
      <c r="AL28" s="727"/>
      <c r="AM28" s="720">
        <f>'資料5.減価償却費個別内訳'!Q27</f>
        <v>0</v>
      </c>
      <c r="AN28" s="727"/>
      <c r="AO28" s="720">
        <f>'資料5.減価償却費個別内訳'!S27</f>
        <v>0</v>
      </c>
      <c r="AP28" s="727"/>
      <c r="AQ28" s="720">
        <f>'資料5.減価償却費個別内訳'!U27</f>
        <v>0</v>
      </c>
      <c r="AR28" s="727"/>
      <c r="AS28" s="720">
        <f>'資料5.減価償却費個別内訳'!W27</f>
        <v>0</v>
      </c>
      <c r="AT28" s="727"/>
    </row>
    <row r="29" spans="1:46" ht="19.5" customHeight="1">
      <c r="F29" s="500"/>
      <c r="G29" s="500"/>
      <c r="H29" s="526"/>
      <c r="I29" s="544"/>
      <c r="J29" s="544"/>
      <c r="K29" s="544"/>
      <c r="L29" s="585"/>
      <c r="M29" s="516"/>
      <c r="N29" s="516"/>
      <c r="O29" s="415"/>
      <c r="P29" s="544"/>
      <c r="Q29" s="643"/>
      <c r="R29" s="652"/>
      <c r="S29" s="652"/>
      <c r="T29" s="652"/>
      <c r="U29" s="652"/>
      <c r="W29" s="457">
        <v>23</v>
      </c>
      <c r="X29" s="463">
        <f>'資料1.参加者及び面積'!$F25</f>
        <v>0</v>
      </c>
      <c r="Y29" s="699">
        <f t="shared" si="3"/>
        <v>0</v>
      </c>
      <c r="Z29" s="711">
        <f t="shared" si="4"/>
        <v>0</v>
      </c>
      <c r="AA29" s="720">
        <f>'資料5.減価償却費個別内訳'!E28</f>
        <v>0</v>
      </c>
      <c r="AB29" s="727"/>
      <c r="AC29" s="720">
        <f>'資料5.減価償却費個別内訳'!G28</f>
        <v>0</v>
      </c>
      <c r="AD29" s="727"/>
      <c r="AE29" s="720">
        <f>'資料5.減価償却費個別内訳'!I28</f>
        <v>0</v>
      </c>
      <c r="AF29" s="727"/>
      <c r="AG29" s="720">
        <f>'資料5.減価償却費個別内訳'!K28</f>
        <v>0</v>
      </c>
      <c r="AH29" s="727"/>
      <c r="AI29" s="720">
        <f>'資料5.減価償却費個別内訳'!M28</f>
        <v>0</v>
      </c>
      <c r="AJ29" s="727"/>
      <c r="AK29" s="720">
        <f>'資料5.減価償却費個別内訳'!O28</f>
        <v>0</v>
      </c>
      <c r="AL29" s="727"/>
      <c r="AM29" s="720">
        <f>'資料5.減価償却費個別内訳'!Q28</f>
        <v>0</v>
      </c>
      <c r="AN29" s="727"/>
      <c r="AO29" s="720">
        <f>'資料5.減価償却費個別内訳'!S28</f>
        <v>0</v>
      </c>
      <c r="AP29" s="727"/>
      <c r="AQ29" s="720">
        <f>'資料5.減価償却費個別内訳'!U28</f>
        <v>0</v>
      </c>
      <c r="AR29" s="727"/>
      <c r="AS29" s="720">
        <f>'資料5.減価償却費個別内訳'!W28</f>
        <v>0</v>
      </c>
      <c r="AT29" s="727"/>
    </row>
    <row r="30" spans="1:46" ht="19.5" customHeight="1">
      <c r="F30" s="500"/>
      <c r="G30" s="500"/>
      <c r="H30" s="526"/>
      <c r="I30" s="544"/>
      <c r="J30" s="544"/>
      <c r="K30" s="544"/>
      <c r="L30" s="585"/>
      <c r="M30" s="516"/>
      <c r="N30" s="516"/>
      <c r="O30" s="415"/>
      <c r="P30" s="544"/>
      <c r="Q30" s="643"/>
      <c r="R30" s="652"/>
      <c r="S30" s="652"/>
      <c r="T30" s="652"/>
      <c r="U30" s="652"/>
      <c r="W30" s="457">
        <v>24</v>
      </c>
      <c r="X30" s="463">
        <f>'資料1.参加者及び面積'!$F26</f>
        <v>0</v>
      </c>
      <c r="Y30" s="699">
        <f t="shared" si="3"/>
        <v>0</v>
      </c>
      <c r="Z30" s="711">
        <f t="shared" si="4"/>
        <v>0</v>
      </c>
      <c r="AA30" s="720">
        <f>'資料5.減価償却費個別内訳'!E29</f>
        <v>0</v>
      </c>
      <c r="AB30" s="727"/>
      <c r="AC30" s="720">
        <f>'資料5.減価償却費個別内訳'!G29</f>
        <v>0</v>
      </c>
      <c r="AD30" s="727"/>
      <c r="AE30" s="720">
        <f>'資料5.減価償却費個別内訳'!I29</f>
        <v>0</v>
      </c>
      <c r="AF30" s="727"/>
      <c r="AG30" s="720">
        <f>'資料5.減価償却費個別内訳'!K29</f>
        <v>0</v>
      </c>
      <c r="AH30" s="727"/>
      <c r="AI30" s="720">
        <f>'資料5.減価償却費個別内訳'!M29</f>
        <v>0</v>
      </c>
      <c r="AJ30" s="727"/>
      <c r="AK30" s="720">
        <f>'資料5.減価償却費個別内訳'!O29</f>
        <v>0</v>
      </c>
      <c r="AL30" s="727"/>
      <c r="AM30" s="720">
        <f>'資料5.減価償却費個別内訳'!Q29</f>
        <v>0</v>
      </c>
      <c r="AN30" s="727"/>
      <c r="AO30" s="720">
        <f>'資料5.減価償却費個別内訳'!S29</f>
        <v>0</v>
      </c>
      <c r="AP30" s="727"/>
      <c r="AQ30" s="720">
        <f>'資料5.減価償却費個別内訳'!U29</f>
        <v>0</v>
      </c>
      <c r="AR30" s="727"/>
      <c r="AS30" s="720">
        <f>'資料5.減価償却費個別内訳'!W29</f>
        <v>0</v>
      </c>
      <c r="AT30" s="727"/>
    </row>
    <row r="31" spans="1:46" ht="19.5" customHeight="1">
      <c r="F31" s="495" t="s">
        <v>154</v>
      </c>
      <c r="L31" s="500"/>
      <c r="M31" s="500"/>
      <c r="N31" s="500"/>
      <c r="O31" s="500"/>
      <c r="R31" s="495" t="s">
        <v>197</v>
      </c>
      <c r="W31" s="457">
        <v>25</v>
      </c>
      <c r="X31" s="463">
        <f>'資料1.参加者及び面積'!$F27</f>
        <v>0</v>
      </c>
      <c r="Y31" s="699">
        <f t="shared" si="3"/>
        <v>0</v>
      </c>
      <c r="Z31" s="711">
        <f t="shared" si="4"/>
        <v>0</v>
      </c>
      <c r="AA31" s="720">
        <f>'資料5.減価償却費個別内訳'!E30</f>
        <v>0</v>
      </c>
      <c r="AB31" s="727"/>
      <c r="AC31" s="720">
        <f>'資料5.減価償却費個別内訳'!G30</f>
        <v>0</v>
      </c>
      <c r="AD31" s="727"/>
      <c r="AE31" s="720">
        <f>'資料5.減価償却費個別内訳'!I30</f>
        <v>0</v>
      </c>
      <c r="AF31" s="727"/>
      <c r="AG31" s="720">
        <f>'資料5.減価償却費個別内訳'!K30</f>
        <v>0</v>
      </c>
      <c r="AH31" s="727"/>
      <c r="AI31" s="720">
        <f>'資料5.減価償却費個別内訳'!M30</f>
        <v>0</v>
      </c>
      <c r="AJ31" s="727"/>
      <c r="AK31" s="720">
        <f>'資料5.減価償却費個別内訳'!O30</f>
        <v>0</v>
      </c>
      <c r="AL31" s="727"/>
      <c r="AM31" s="720">
        <f>'資料5.減価償却費個別内訳'!Q30</f>
        <v>0</v>
      </c>
      <c r="AN31" s="727"/>
      <c r="AO31" s="720">
        <f>'資料5.減価償却費個別内訳'!S30</f>
        <v>0</v>
      </c>
      <c r="AP31" s="727"/>
      <c r="AQ31" s="720">
        <f>'資料5.減価償却費個別内訳'!U30</f>
        <v>0</v>
      </c>
      <c r="AR31" s="727"/>
      <c r="AS31" s="720">
        <f>'資料5.減価償却費個別内訳'!W30</f>
        <v>0</v>
      </c>
      <c r="AT31" s="727"/>
    </row>
    <row r="32" spans="1:46" ht="19.5" customHeight="1">
      <c r="F32" s="497"/>
      <c r="G32" s="506" t="s">
        <v>62</v>
      </c>
      <c r="H32" s="527" t="s">
        <v>66</v>
      </c>
      <c r="I32" s="548" t="s">
        <v>122</v>
      </c>
      <c r="J32" s="557"/>
      <c r="K32" s="571"/>
      <c r="L32" s="516"/>
      <c r="M32" s="415"/>
      <c r="N32" s="415"/>
      <c r="O32" s="415"/>
      <c r="P32" s="516"/>
      <c r="Q32" s="516"/>
      <c r="R32" s="516"/>
      <c r="S32" s="516"/>
      <c r="T32" s="516"/>
      <c r="U32" s="516"/>
      <c r="W32" s="457">
        <v>26</v>
      </c>
      <c r="X32" s="463">
        <f>'資料1.参加者及び面積'!$F28</f>
        <v>0</v>
      </c>
      <c r="Y32" s="699">
        <f t="shared" si="3"/>
        <v>0</v>
      </c>
      <c r="Z32" s="711">
        <f t="shared" si="4"/>
        <v>0</v>
      </c>
      <c r="AA32" s="720">
        <f>'資料5.減価償却費個別内訳'!E31</f>
        <v>0</v>
      </c>
      <c r="AB32" s="727"/>
      <c r="AC32" s="720">
        <f>'資料5.減価償却費個別内訳'!G31</f>
        <v>0</v>
      </c>
      <c r="AD32" s="727"/>
      <c r="AE32" s="720">
        <f>'資料5.減価償却費個別内訳'!I31</f>
        <v>0</v>
      </c>
      <c r="AF32" s="727"/>
      <c r="AG32" s="720">
        <f>'資料5.減価償却費個別内訳'!K31</f>
        <v>0</v>
      </c>
      <c r="AH32" s="727"/>
      <c r="AI32" s="720">
        <f>'資料5.減価償却費個別内訳'!M31</f>
        <v>0</v>
      </c>
      <c r="AJ32" s="727"/>
      <c r="AK32" s="720">
        <f>'資料5.減価償却費個別内訳'!O31</f>
        <v>0</v>
      </c>
      <c r="AL32" s="727"/>
      <c r="AM32" s="720">
        <f>'資料5.減価償却費個別内訳'!Q31</f>
        <v>0</v>
      </c>
      <c r="AN32" s="727"/>
      <c r="AO32" s="720">
        <f>'資料5.減価償却費個別内訳'!S31</f>
        <v>0</v>
      </c>
      <c r="AP32" s="727"/>
      <c r="AQ32" s="720">
        <f>'資料5.減価償却費個別内訳'!U31</f>
        <v>0</v>
      </c>
      <c r="AR32" s="727"/>
      <c r="AS32" s="720">
        <f>'資料5.減価償却費個別内訳'!W31</f>
        <v>0</v>
      </c>
      <c r="AT32" s="727"/>
    </row>
    <row r="33" spans="6:46" ht="19.5" customHeight="1">
      <c r="F33" s="498">
        <v>1</v>
      </c>
      <c r="G33" s="514" t="str">
        <f>IFERROR(VLOOKUP(1,$C$5:$K$28,5,FALSE),"")</f>
        <v>トラクタB</v>
      </c>
      <c r="H33" s="531" t="str">
        <f>IFERROR(VLOOKUP(1,$C$5:$K$28,6,FALSE),"")</f>
        <v>R6.12</v>
      </c>
      <c r="I33" s="549">
        <f>IFERROR(VLOOKUP(1,$C$5:$P$28,14,FALSE),"")</f>
        <v>50000</v>
      </c>
      <c r="J33" s="549" t="str">
        <f t="shared" ref="J33:K42" si="8">VLOOKUP(1,$C$5:$K$28,5,FALSE)</f>
        <v>トラクタB</v>
      </c>
      <c r="K33" s="572" t="str">
        <f t="shared" si="8"/>
        <v>トラクタB</v>
      </c>
      <c r="L33" s="502"/>
      <c r="M33" s="585"/>
      <c r="N33" s="585"/>
      <c r="O33" s="585"/>
      <c r="P33" s="500"/>
      <c r="Q33" s="500"/>
      <c r="R33" s="653"/>
      <c r="S33" s="653"/>
      <c r="T33" s="653"/>
      <c r="U33" s="653"/>
      <c r="W33" s="457">
        <v>27</v>
      </c>
      <c r="X33" s="463">
        <f>'資料1.参加者及び面積'!$F29</f>
        <v>0</v>
      </c>
      <c r="Y33" s="699">
        <f t="shared" si="3"/>
        <v>0</v>
      </c>
      <c r="Z33" s="711">
        <f t="shared" si="4"/>
        <v>0</v>
      </c>
      <c r="AA33" s="720">
        <f>'資料5.減価償却費個別内訳'!E32</f>
        <v>0</v>
      </c>
      <c r="AB33" s="727"/>
      <c r="AC33" s="720">
        <f>'資料5.減価償却費個別内訳'!G32</f>
        <v>0</v>
      </c>
      <c r="AD33" s="727"/>
      <c r="AE33" s="720">
        <f>'資料5.減価償却費個別内訳'!I32</f>
        <v>0</v>
      </c>
      <c r="AF33" s="727"/>
      <c r="AG33" s="720">
        <f>'資料5.減価償却費個別内訳'!K32</f>
        <v>0</v>
      </c>
      <c r="AH33" s="727"/>
      <c r="AI33" s="720">
        <f>'資料5.減価償却費個別内訳'!M32</f>
        <v>0</v>
      </c>
      <c r="AJ33" s="727"/>
      <c r="AK33" s="720">
        <f>'資料5.減価償却費個別内訳'!O32</f>
        <v>0</v>
      </c>
      <c r="AL33" s="727"/>
      <c r="AM33" s="720">
        <f>'資料5.減価償却費個別内訳'!Q32</f>
        <v>0</v>
      </c>
      <c r="AN33" s="727"/>
      <c r="AO33" s="720">
        <f>'資料5.減価償却費個別内訳'!S32</f>
        <v>0</v>
      </c>
      <c r="AP33" s="727"/>
      <c r="AQ33" s="720">
        <f>'資料5.減価償却費個別内訳'!U32</f>
        <v>0</v>
      </c>
      <c r="AR33" s="727"/>
      <c r="AS33" s="720">
        <f>'資料5.減価償却費個別内訳'!W32</f>
        <v>0</v>
      </c>
      <c r="AT33" s="727"/>
    </row>
    <row r="34" spans="6:46" ht="19.5" customHeight="1">
      <c r="F34" s="498">
        <v>2</v>
      </c>
      <c r="G34" s="515" t="str">
        <f>IFERROR(VLOOKUP(2,$C$5:$K$28,5,FALSE),"")</f>
        <v/>
      </c>
      <c r="H34" s="532" t="str">
        <f>IFERROR(VLOOKUP(2,$C$5:$K$28,6,FALSE),"")</f>
        <v/>
      </c>
      <c r="I34" s="549" t="str">
        <f>IFERROR(VLOOKUP(2,$C$5:$P$28,14,FALSE),"")</f>
        <v/>
      </c>
      <c r="J34" s="549" t="str">
        <f t="shared" si="8"/>
        <v>トラクタB</v>
      </c>
      <c r="K34" s="572" t="str">
        <f t="shared" si="8"/>
        <v>トラクタB</v>
      </c>
      <c r="L34" s="502"/>
      <c r="M34" s="585"/>
      <c r="N34" s="585"/>
      <c r="O34" s="585"/>
      <c r="P34" s="500"/>
      <c r="Q34" s="500"/>
      <c r="R34" s="653"/>
      <c r="S34" s="653"/>
      <c r="T34" s="653"/>
      <c r="U34" s="653"/>
      <c r="W34" s="457">
        <v>28</v>
      </c>
      <c r="X34" s="463">
        <f>'資料1.参加者及び面積'!$F30</f>
        <v>0</v>
      </c>
      <c r="Y34" s="699">
        <f t="shared" si="3"/>
        <v>0</v>
      </c>
      <c r="Z34" s="711">
        <f t="shared" si="4"/>
        <v>0</v>
      </c>
      <c r="AA34" s="720">
        <f>'資料5.減価償却費個別内訳'!E33</f>
        <v>0</v>
      </c>
      <c r="AB34" s="727"/>
      <c r="AC34" s="720">
        <f>'資料5.減価償却費個別内訳'!G33</f>
        <v>0</v>
      </c>
      <c r="AD34" s="727"/>
      <c r="AE34" s="720">
        <f>'資料5.減価償却費個別内訳'!I33</f>
        <v>0</v>
      </c>
      <c r="AF34" s="727"/>
      <c r="AG34" s="720">
        <f>'資料5.減価償却費個別内訳'!K33</f>
        <v>0</v>
      </c>
      <c r="AH34" s="727"/>
      <c r="AI34" s="720">
        <f>'資料5.減価償却費個別内訳'!M33</f>
        <v>0</v>
      </c>
      <c r="AJ34" s="727"/>
      <c r="AK34" s="720">
        <f>'資料5.減価償却費個別内訳'!O33</f>
        <v>0</v>
      </c>
      <c r="AL34" s="727"/>
      <c r="AM34" s="720">
        <f>'資料5.減価償却費個別内訳'!Q33</f>
        <v>0</v>
      </c>
      <c r="AN34" s="727"/>
      <c r="AO34" s="720">
        <f>'資料5.減価償却費個別内訳'!S33</f>
        <v>0</v>
      </c>
      <c r="AP34" s="727"/>
      <c r="AQ34" s="720">
        <f>'資料5.減価償却費個別内訳'!U33</f>
        <v>0</v>
      </c>
      <c r="AR34" s="727"/>
      <c r="AS34" s="720">
        <f>'資料5.減価償却費個別内訳'!W33</f>
        <v>0</v>
      </c>
      <c r="AT34" s="727"/>
    </row>
    <row r="35" spans="6:46" ht="19.5" customHeight="1">
      <c r="F35" s="498">
        <v>3</v>
      </c>
      <c r="G35" s="507" t="str">
        <f>IFERROR(VLOOKUP(3,$C$5:$K$28,5,FALSE),"")</f>
        <v/>
      </c>
      <c r="H35" s="532" t="str">
        <f>IFERROR(VLOOKUP(3,$C$5:$K$28,6,FALSE),"")</f>
        <v/>
      </c>
      <c r="I35" s="549" t="str">
        <f>IFERROR(VLOOKUP(3,$C$5:$P$28,14,FALSE),"")</f>
        <v/>
      </c>
      <c r="J35" s="549" t="str">
        <f t="shared" si="8"/>
        <v>トラクタB</v>
      </c>
      <c r="K35" s="572" t="str">
        <f t="shared" si="8"/>
        <v>トラクタB</v>
      </c>
      <c r="L35" s="502"/>
      <c r="M35" s="585"/>
      <c r="N35" s="585"/>
      <c r="O35" s="585"/>
      <c r="P35" s="500"/>
      <c r="Q35" s="500"/>
      <c r="R35" s="653"/>
      <c r="S35" s="653"/>
      <c r="T35" s="653"/>
      <c r="U35" s="653"/>
      <c r="W35" s="457">
        <v>29</v>
      </c>
      <c r="X35" s="463">
        <f>'資料1.参加者及び面積'!$F31</f>
        <v>0</v>
      </c>
      <c r="Y35" s="699">
        <f t="shared" si="3"/>
        <v>0</v>
      </c>
      <c r="Z35" s="711">
        <f t="shared" si="4"/>
        <v>0</v>
      </c>
      <c r="AA35" s="720">
        <f>'資料5.減価償却費個別内訳'!E34</f>
        <v>0</v>
      </c>
      <c r="AB35" s="727"/>
      <c r="AC35" s="720">
        <f>'資料5.減価償却費個別内訳'!G34</f>
        <v>0</v>
      </c>
      <c r="AD35" s="727"/>
      <c r="AE35" s="720">
        <f>'資料5.減価償却費個別内訳'!I34</f>
        <v>0</v>
      </c>
      <c r="AF35" s="727"/>
      <c r="AG35" s="720">
        <f>'資料5.減価償却費個別内訳'!K34</f>
        <v>0</v>
      </c>
      <c r="AH35" s="727"/>
      <c r="AI35" s="720">
        <f>'資料5.減価償却費個別内訳'!M34</f>
        <v>0</v>
      </c>
      <c r="AJ35" s="727"/>
      <c r="AK35" s="720">
        <f>'資料5.減価償却費個別内訳'!O34</f>
        <v>0</v>
      </c>
      <c r="AL35" s="727"/>
      <c r="AM35" s="720">
        <f>'資料5.減価償却費個別内訳'!Q34</f>
        <v>0</v>
      </c>
      <c r="AN35" s="727"/>
      <c r="AO35" s="720">
        <f>'資料5.減価償却費個別内訳'!S34</f>
        <v>0</v>
      </c>
      <c r="AP35" s="727"/>
      <c r="AQ35" s="720">
        <f>'資料5.減価償却費個別内訳'!U34</f>
        <v>0</v>
      </c>
      <c r="AR35" s="727"/>
      <c r="AS35" s="720">
        <f>'資料5.減価償却費個別内訳'!W34</f>
        <v>0</v>
      </c>
      <c r="AT35" s="727"/>
    </row>
    <row r="36" spans="6:46" ht="19.5" customHeight="1">
      <c r="F36" s="498">
        <v>4</v>
      </c>
      <c r="G36" s="507" t="str">
        <f>IFERROR(VLOOKUP(4,$C$5:$K$28,5,FALSE),"")</f>
        <v/>
      </c>
      <c r="H36" s="532" t="str">
        <f>IFERROR(VLOOKUP(4,$C$5:$K$28,6,FALSE),"")</f>
        <v/>
      </c>
      <c r="I36" s="549" t="str">
        <f>IFERROR(VLOOKUP(4,$C$5:$P$28,14,FALSE),"")</f>
        <v/>
      </c>
      <c r="J36" s="549" t="str">
        <f t="shared" si="8"/>
        <v>トラクタB</v>
      </c>
      <c r="K36" s="572" t="str">
        <f t="shared" si="8"/>
        <v>トラクタB</v>
      </c>
      <c r="L36" s="502"/>
      <c r="M36" s="585"/>
      <c r="N36" s="585"/>
      <c r="O36" s="585"/>
      <c r="P36" s="500"/>
      <c r="Q36" s="500"/>
      <c r="R36" s="653"/>
      <c r="S36" s="653"/>
      <c r="T36" s="653"/>
      <c r="U36" s="653"/>
      <c r="W36" s="458">
        <v>30</v>
      </c>
      <c r="X36" s="464">
        <f>'資料1.参加者及び面積'!$F32</f>
        <v>0</v>
      </c>
      <c r="Y36" s="700">
        <f t="shared" si="3"/>
        <v>0</v>
      </c>
      <c r="Z36" s="712">
        <f t="shared" si="4"/>
        <v>0</v>
      </c>
      <c r="AA36" s="721">
        <f>'資料5.減価償却費個別内訳'!E35</f>
        <v>0</v>
      </c>
      <c r="AB36" s="728"/>
      <c r="AC36" s="721">
        <f>'資料5.減価償却費個別内訳'!G35</f>
        <v>0</v>
      </c>
      <c r="AD36" s="728"/>
      <c r="AE36" s="721">
        <f>'資料5.減価償却費個別内訳'!I35</f>
        <v>0</v>
      </c>
      <c r="AF36" s="728"/>
      <c r="AG36" s="721">
        <f>'資料5.減価償却費個別内訳'!K35</f>
        <v>0</v>
      </c>
      <c r="AH36" s="728"/>
      <c r="AI36" s="721">
        <f>'資料5.減価償却費個別内訳'!M35</f>
        <v>0</v>
      </c>
      <c r="AJ36" s="728"/>
      <c r="AK36" s="721">
        <f>'資料5.減価償却費個別内訳'!O35</f>
        <v>0</v>
      </c>
      <c r="AL36" s="728"/>
      <c r="AM36" s="721">
        <f>'資料5.減価償却費個別内訳'!Q35</f>
        <v>0</v>
      </c>
      <c r="AN36" s="728"/>
      <c r="AO36" s="721">
        <f>'資料5.減価償却費個別内訳'!S35</f>
        <v>0</v>
      </c>
      <c r="AP36" s="728"/>
      <c r="AQ36" s="721">
        <f>'資料5.減価償却費個別内訳'!U35</f>
        <v>0</v>
      </c>
      <c r="AR36" s="728"/>
      <c r="AS36" s="721">
        <f>'資料5.減価償却費個別内訳'!W35</f>
        <v>0</v>
      </c>
      <c r="AT36" s="728"/>
    </row>
    <row r="37" spans="6:46" ht="19.5" customHeight="1">
      <c r="F37" s="498">
        <v>5</v>
      </c>
      <c r="G37" s="507" t="str">
        <f>IFERROR(VLOOKUP(5,$C$5:$K$28,5,FALSE),"")</f>
        <v/>
      </c>
      <c r="H37" s="532" t="str">
        <f>IFERROR(VLOOKUP(5,$C$5:$K$28,6,FALSE),"")</f>
        <v/>
      </c>
      <c r="I37" s="549" t="str">
        <f>IFERROR(VLOOKUP(5,$C$5:$P$28,14,FALSE),"")</f>
        <v/>
      </c>
      <c r="J37" s="549" t="str">
        <f t="shared" si="8"/>
        <v>トラクタB</v>
      </c>
      <c r="K37" s="572" t="str">
        <f t="shared" si="8"/>
        <v>トラクタB</v>
      </c>
      <c r="L37" s="502"/>
      <c r="M37" s="585"/>
      <c r="N37" s="585"/>
      <c r="O37" s="585"/>
      <c r="P37" s="500"/>
      <c r="Q37" s="500"/>
      <c r="R37" s="653"/>
      <c r="S37" s="653"/>
      <c r="T37" s="653"/>
      <c r="U37" s="653"/>
    </row>
    <row r="38" spans="6:46" ht="19.5" customHeight="1">
      <c r="F38" s="498">
        <v>6</v>
      </c>
      <c r="G38" s="507" t="str">
        <f>IFERROR(VLOOKUP(6,$C$5:$K$28,5,FALSE),"")</f>
        <v/>
      </c>
      <c r="H38" s="532" t="str">
        <f>IFERROR(VLOOKUP(6,$C$5:$K$28,6,FALSE),"")</f>
        <v/>
      </c>
      <c r="I38" s="549" t="str">
        <f>IFERROR(VLOOKUP(6,$C$5:$P$28,14,FALSE),"")</f>
        <v/>
      </c>
      <c r="J38" s="549" t="str">
        <f t="shared" si="8"/>
        <v>トラクタB</v>
      </c>
      <c r="K38" s="572" t="str">
        <f t="shared" si="8"/>
        <v>トラクタB</v>
      </c>
      <c r="L38" s="502"/>
      <c r="M38" s="585"/>
      <c r="N38" s="585"/>
      <c r="O38" s="585"/>
      <c r="P38" s="500"/>
      <c r="Q38" s="500"/>
      <c r="R38" s="653"/>
      <c r="S38" s="653"/>
      <c r="T38" s="653"/>
      <c r="U38" s="653"/>
    </row>
    <row r="39" spans="6:46" ht="19.5" customHeight="1">
      <c r="F39" s="498">
        <v>7</v>
      </c>
      <c r="G39" s="507" t="str">
        <f>IFERROR(VLOOKUP(7,$C$5:$K$28,5,FALSE),"")</f>
        <v/>
      </c>
      <c r="H39" s="532" t="str">
        <f>IFERROR(VLOOKUP(7,$C$5:$K$28,6,FALSE),"")</f>
        <v/>
      </c>
      <c r="I39" s="549" t="str">
        <f>IFERROR(VLOOKUP(7,$C$5:$P$28,14,FALSE),"")</f>
        <v/>
      </c>
      <c r="J39" s="549" t="str">
        <f t="shared" si="8"/>
        <v>トラクタB</v>
      </c>
      <c r="K39" s="572" t="str">
        <f t="shared" si="8"/>
        <v>トラクタB</v>
      </c>
      <c r="L39" s="502"/>
      <c r="M39" s="585"/>
      <c r="N39" s="585"/>
      <c r="O39" s="585"/>
      <c r="P39" s="500"/>
      <c r="Q39" s="500"/>
      <c r="R39" s="653"/>
      <c r="S39" s="653"/>
      <c r="T39" s="653"/>
      <c r="U39" s="653"/>
    </row>
    <row r="40" spans="6:46" ht="19.5" customHeight="1">
      <c r="F40" s="498">
        <v>8</v>
      </c>
      <c r="G40" s="507" t="str">
        <f>IFERROR(VLOOKUP(8,$C$5:$K$28,5,FALSE),"")</f>
        <v/>
      </c>
      <c r="H40" s="532" t="str">
        <f>IFERROR(VLOOKUP(8,$C$5:$K$28,6,FALSE),"")</f>
        <v/>
      </c>
      <c r="I40" s="549" t="str">
        <f>IFERROR(VLOOKUP(8,$C$5:$P$28,14,FALSE),"")</f>
        <v/>
      </c>
      <c r="J40" s="549" t="str">
        <f t="shared" si="8"/>
        <v>トラクタB</v>
      </c>
      <c r="K40" s="572" t="str">
        <f t="shared" si="8"/>
        <v>トラクタB</v>
      </c>
      <c r="L40" s="502"/>
      <c r="M40" s="585"/>
      <c r="N40" s="585"/>
      <c r="O40" s="585"/>
      <c r="P40" s="500"/>
      <c r="Q40" s="500"/>
      <c r="R40" s="500"/>
      <c r="S40" s="500"/>
      <c r="T40" s="500"/>
      <c r="U40" s="500"/>
    </row>
    <row r="41" spans="6:46" ht="19.5" customHeight="1">
      <c r="F41" s="498">
        <v>9</v>
      </c>
      <c r="G41" s="507" t="str">
        <f>IFERROR(VLOOKUP(9,$C$5:$K$28,5,FALSE),"")</f>
        <v/>
      </c>
      <c r="H41" s="532" t="str">
        <f>IFERROR(VLOOKUP(9,$C$5:$K$28,6,FALSE),"")</f>
        <v/>
      </c>
      <c r="I41" s="549" t="str">
        <f>IFERROR(VLOOKUP(9,$C$5:$P$28,14,FALSE),"")</f>
        <v/>
      </c>
      <c r="J41" s="549" t="str">
        <f t="shared" si="8"/>
        <v>トラクタB</v>
      </c>
      <c r="K41" s="572" t="str">
        <f t="shared" si="8"/>
        <v>トラクタB</v>
      </c>
      <c r="L41" s="516"/>
      <c r="M41" s="415"/>
      <c r="N41" s="415"/>
      <c r="O41" s="415"/>
      <c r="P41" s="516"/>
      <c r="Q41" s="516"/>
      <c r="R41" s="500"/>
      <c r="S41" s="500"/>
      <c r="T41" s="500"/>
      <c r="U41" s="500"/>
    </row>
    <row r="42" spans="6:46" ht="19.5" customHeight="1">
      <c r="F42" s="499">
        <v>10</v>
      </c>
      <c r="G42" s="509" t="str">
        <f>IFERROR(VLOOKUP(10,$C$5:$K$28,5,FALSE),"")</f>
        <v/>
      </c>
      <c r="H42" s="533" t="str">
        <f>IFERROR(VLOOKUP(10,$C$5:$K$28,6,FALSE),"")</f>
        <v/>
      </c>
      <c r="I42" s="550" t="str">
        <f>IFERROR(VLOOKUP(10,$C$5:$P$28,14,FALSE),"")</f>
        <v/>
      </c>
      <c r="J42" s="550" t="str">
        <f t="shared" si="8"/>
        <v>トラクタB</v>
      </c>
      <c r="K42" s="573" t="str">
        <f t="shared" si="8"/>
        <v>トラクタB</v>
      </c>
      <c r="L42" s="502"/>
      <c r="M42" s="585"/>
      <c r="N42" s="585"/>
      <c r="O42" s="585"/>
      <c r="P42" s="500"/>
      <c r="Q42" s="500"/>
      <c r="R42" s="500"/>
      <c r="S42" s="500"/>
      <c r="T42" s="500"/>
      <c r="U42" s="500"/>
    </row>
    <row r="43" spans="6:46" ht="19.5" customHeight="1">
      <c r="F43" s="501" t="s">
        <v>54</v>
      </c>
      <c r="G43" s="501"/>
      <c r="H43" s="534"/>
      <c r="I43" s="551">
        <f>SUM(I33:K42)</f>
        <v>50000</v>
      </c>
      <c r="J43" s="558"/>
      <c r="K43" s="574"/>
      <c r="L43" s="535"/>
      <c r="M43" s="535"/>
      <c r="N43" s="535"/>
      <c r="O43" s="535"/>
      <c r="P43" s="552"/>
      <c r="Q43" s="552"/>
      <c r="R43" s="653"/>
      <c r="S43" s="653"/>
      <c r="T43" s="653"/>
      <c r="U43" s="653"/>
    </row>
    <row r="44" spans="6:46" ht="19.5" customHeight="1">
      <c r="F44" s="502"/>
      <c r="G44" s="516"/>
      <c r="H44" s="535"/>
      <c r="I44" s="552"/>
      <c r="J44" s="552"/>
      <c r="K44" s="552"/>
      <c r="L44" s="535"/>
      <c r="M44" s="535"/>
      <c r="N44" s="535"/>
      <c r="O44" s="535"/>
      <c r="P44" s="552"/>
      <c r="Q44" s="552"/>
      <c r="R44" s="653"/>
      <c r="S44" s="653"/>
      <c r="T44" s="653"/>
      <c r="U44" s="653"/>
    </row>
    <row r="45" spans="6:46" ht="19.5" customHeight="1">
      <c r="L45" s="589"/>
    </row>
    <row r="46" spans="6:46" ht="19.5" customHeight="1">
      <c r="F46" s="495" t="s">
        <v>69</v>
      </c>
      <c r="S46" s="500"/>
      <c r="T46" s="500"/>
      <c r="U46" s="500"/>
    </row>
    <row r="47" spans="6:46" ht="20.25" customHeight="1">
      <c r="F47" s="497"/>
      <c r="G47" s="506" t="s">
        <v>62</v>
      </c>
      <c r="H47" s="527" t="s">
        <v>66</v>
      </c>
      <c r="I47" s="527" t="s">
        <v>238</v>
      </c>
      <c r="J47" s="527"/>
      <c r="K47" s="567"/>
      <c r="L47" s="590"/>
      <c r="M47" s="527" t="s">
        <v>71</v>
      </c>
      <c r="N47" s="548" t="s">
        <v>150</v>
      </c>
      <c r="O47" s="595"/>
      <c r="P47" s="527" t="s">
        <v>73</v>
      </c>
      <c r="Q47" s="595"/>
      <c r="R47" s="654" t="s">
        <v>74</v>
      </c>
      <c r="S47" s="668" t="s">
        <v>167</v>
      </c>
      <c r="T47" s="676"/>
      <c r="U47" s="681"/>
    </row>
    <row r="48" spans="6:46" ht="20.25" customHeight="1">
      <c r="F48" s="498">
        <v>1</v>
      </c>
      <c r="G48" s="517" t="str">
        <f>VLOOKUP(1,$D$5:$K$28,4,FALSE)</f>
        <v>田植機</v>
      </c>
      <c r="H48" s="536" t="str">
        <f>IFERROR(VLOOKUP(1,$D$5:$K$28,5,FALSE),"")</f>
        <v>R6.11</v>
      </c>
      <c r="I48" s="542">
        <f>IFERROR(VLOOKUP(1,$D$5:$P$28,13,FALSE),"")</f>
        <v>125000</v>
      </c>
      <c r="J48" s="542" t="str">
        <f t="shared" ref="J48:K57" si="9">VLOOKUP(1,$C$5:$K$28,5,FALSE)</f>
        <v>トラクタB</v>
      </c>
      <c r="K48" s="542" t="str">
        <f t="shared" si="9"/>
        <v>トラクタB</v>
      </c>
      <c r="L48" s="591" t="s">
        <v>155</v>
      </c>
      <c r="M48" s="603" t="s">
        <v>77</v>
      </c>
      <c r="N48" s="609">
        <f t="shared" ref="N48:N57" si="10">IFERROR(IF(ISBLANK(I48),"",INT(I48/3)),"")</f>
        <v>41666</v>
      </c>
      <c r="O48" s="619" t="s">
        <v>198</v>
      </c>
      <c r="P48" s="629">
        <v>100</v>
      </c>
      <c r="Q48" s="561" t="s">
        <v>196</v>
      </c>
      <c r="R48" s="655">
        <f t="shared" ref="R48:R57" si="11">IFERROR(IF(ISBLANK(I48),"",N48*P48/100),"")</f>
        <v>41666</v>
      </c>
      <c r="S48" s="669" t="s">
        <v>265</v>
      </c>
      <c r="T48" s="677" t="s">
        <v>200</v>
      </c>
      <c r="U48" s="682" t="s">
        <v>263</v>
      </c>
    </row>
    <row r="49" spans="6:31" ht="20.25" customHeight="1">
      <c r="F49" s="498">
        <v>2</v>
      </c>
      <c r="G49" s="515" t="str">
        <f>IFERROR(VLOOKUP(2,$D$5:$K$28,4,FALSE),"")</f>
        <v/>
      </c>
      <c r="H49" s="532" t="str">
        <f>IFERROR(VLOOKUP(2,$D$5:$K$28,5,FALSE),"")</f>
        <v/>
      </c>
      <c r="I49" s="549" t="str">
        <f>IFERROR(VLOOKUP(2,$D$5:$P$28,13,FALSE),"")</f>
        <v/>
      </c>
      <c r="J49" s="549" t="str">
        <f t="shared" si="9"/>
        <v>トラクタB</v>
      </c>
      <c r="K49" s="549" t="str">
        <f t="shared" si="9"/>
        <v>トラクタB</v>
      </c>
      <c r="L49" s="592"/>
      <c r="M49" s="604"/>
      <c r="N49" s="610" t="str">
        <f t="shared" si="10"/>
        <v/>
      </c>
      <c r="O49" s="604"/>
      <c r="P49" s="630"/>
      <c r="Q49" s="604"/>
      <c r="R49" s="656" t="str">
        <f t="shared" si="11"/>
        <v/>
      </c>
      <c r="S49" s="670"/>
      <c r="T49" s="677" t="s">
        <v>200</v>
      </c>
      <c r="U49" s="683"/>
    </row>
    <row r="50" spans="6:31" ht="20.25" customHeight="1">
      <c r="F50" s="498">
        <v>3</v>
      </c>
      <c r="G50" s="507" t="str">
        <f>IFERROR(VLOOKUP(3,$D$5:$K$28,4,FALSE),"")</f>
        <v/>
      </c>
      <c r="H50" s="532" t="str">
        <f>IFERROR(VLOOKUP(3,$D$5:$K$28,5,FALSE),"")</f>
        <v/>
      </c>
      <c r="I50" s="549" t="str">
        <f>IFERROR(VLOOKUP(3,$D$5:$P$28,13,FALSE),"")</f>
        <v/>
      </c>
      <c r="J50" s="549" t="str">
        <f t="shared" si="9"/>
        <v>トラクタB</v>
      </c>
      <c r="K50" s="549" t="str">
        <f t="shared" si="9"/>
        <v>トラクタB</v>
      </c>
      <c r="L50" s="592"/>
      <c r="M50" s="604"/>
      <c r="N50" s="610" t="str">
        <f t="shared" si="10"/>
        <v/>
      </c>
      <c r="O50" s="604"/>
      <c r="P50" s="630"/>
      <c r="Q50" s="604"/>
      <c r="R50" s="656" t="str">
        <f t="shared" si="11"/>
        <v/>
      </c>
      <c r="S50" s="670"/>
      <c r="T50" s="677" t="s">
        <v>200</v>
      </c>
      <c r="U50" s="683"/>
    </row>
    <row r="51" spans="6:31" ht="20.25" customHeight="1">
      <c r="F51" s="498">
        <v>4</v>
      </c>
      <c r="G51" s="507" t="str">
        <f>IFERROR(VLOOKUP(4,$D$5:$K$28,4,FALSE),"")</f>
        <v/>
      </c>
      <c r="H51" s="532" t="str">
        <f>IFERROR(VLOOKUP(4,$D$5:$K$28,5,FALSE),"")</f>
        <v/>
      </c>
      <c r="I51" s="549" t="str">
        <f>IFERROR(VLOOKUP(4,$D$5:$P$28,13,FALSE),"")</f>
        <v/>
      </c>
      <c r="J51" s="549" t="str">
        <f t="shared" si="9"/>
        <v>トラクタB</v>
      </c>
      <c r="K51" s="549" t="str">
        <f t="shared" si="9"/>
        <v>トラクタB</v>
      </c>
      <c r="L51" s="592"/>
      <c r="M51" s="604"/>
      <c r="N51" s="610" t="str">
        <f t="shared" si="10"/>
        <v/>
      </c>
      <c r="O51" s="604"/>
      <c r="P51" s="630"/>
      <c r="Q51" s="604"/>
      <c r="R51" s="656" t="str">
        <f t="shared" si="11"/>
        <v/>
      </c>
      <c r="S51" s="670"/>
      <c r="T51" s="677" t="s">
        <v>200</v>
      </c>
      <c r="U51" s="683"/>
    </row>
    <row r="52" spans="6:31" ht="20.25" customHeight="1">
      <c r="F52" s="498">
        <v>5</v>
      </c>
      <c r="G52" s="507" t="str">
        <f>IFERROR(VLOOKUP(5,$D$5:$K$28,4,FALSE),"")</f>
        <v/>
      </c>
      <c r="H52" s="532" t="str">
        <f>IFERROR(VLOOKUP(5,$D$5:$K$28,5,FALSE),"")</f>
        <v/>
      </c>
      <c r="I52" s="549" t="str">
        <f>IFERROR(VLOOKUP(5,$D$5:$P$28,13,FALSE),"")</f>
        <v/>
      </c>
      <c r="J52" s="549" t="str">
        <f t="shared" si="9"/>
        <v>トラクタB</v>
      </c>
      <c r="K52" s="549" t="str">
        <f t="shared" si="9"/>
        <v>トラクタB</v>
      </c>
      <c r="L52" s="592"/>
      <c r="M52" s="604"/>
      <c r="N52" s="610" t="str">
        <f t="shared" si="10"/>
        <v/>
      </c>
      <c r="O52" s="604"/>
      <c r="P52" s="630"/>
      <c r="Q52" s="604"/>
      <c r="R52" s="656" t="str">
        <f t="shared" si="11"/>
        <v/>
      </c>
      <c r="S52" s="670"/>
      <c r="T52" s="677" t="s">
        <v>200</v>
      </c>
      <c r="U52" s="683"/>
    </row>
    <row r="53" spans="6:31" ht="20.25" customHeight="1">
      <c r="F53" s="498">
        <v>6</v>
      </c>
      <c r="G53" s="507" t="str">
        <f>IFERROR(VLOOKUP(6,$D$5:$K$28,4,FALSE),"")</f>
        <v/>
      </c>
      <c r="H53" s="532" t="str">
        <f>IFERROR(VLOOKUP(6,$D$5:$K$28,5,FALSE),"")</f>
        <v/>
      </c>
      <c r="I53" s="549" t="str">
        <f>IFERROR(VLOOKUP(6,$D$5:$P$28,13,FALSE),"")</f>
        <v/>
      </c>
      <c r="J53" s="549" t="str">
        <f t="shared" si="9"/>
        <v>トラクタB</v>
      </c>
      <c r="K53" s="549" t="str">
        <f t="shared" si="9"/>
        <v>トラクタB</v>
      </c>
      <c r="L53" s="592"/>
      <c r="M53" s="604"/>
      <c r="N53" s="610" t="str">
        <f t="shared" si="10"/>
        <v/>
      </c>
      <c r="O53" s="604"/>
      <c r="P53" s="630"/>
      <c r="Q53" s="604"/>
      <c r="R53" s="656" t="str">
        <f t="shared" si="11"/>
        <v/>
      </c>
      <c r="S53" s="670"/>
      <c r="T53" s="677" t="s">
        <v>200</v>
      </c>
      <c r="U53" s="683"/>
    </row>
    <row r="54" spans="6:31" ht="20.25" customHeight="1">
      <c r="F54" s="498">
        <v>7</v>
      </c>
      <c r="G54" s="507" t="str">
        <f>IFERROR(VLOOKUP(7,$D$5:$K$28,4,FALSE),"")</f>
        <v/>
      </c>
      <c r="H54" s="532" t="str">
        <f>IFERROR(VLOOKUP(7,$D$5:$K$28,5,FALSE),"")</f>
        <v/>
      </c>
      <c r="I54" s="549" t="str">
        <f>IFERROR(VLOOKUP(7,$D$5:$P$28,13,FALSE),"")</f>
        <v/>
      </c>
      <c r="J54" s="549" t="str">
        <f t="shared" si="9"/>
        <v>トラクタB</v>
      </c>
      <c r="K54" s="549" t="str">
        <f t="shared" si="9"/>
        <v>トラクタB</v>
      </c>
      <c r="L54" s="592"/>
      <c r="M54" s="604"/>
      <c r="N54" s="611" t="str">
        <f t="shared" si="10"/>
        <v/>
      </c>
      <c r="O54" s="604"/>
      <c r="P54" s="630"/>
      <c r="Q54" s="604"/>
      <c r="R54" s="656" t="str">
        <f t="shared" si="11"/>
        <v/>
      </c>
      <c r="S54" s="670"/>
      <c r="T54" s="677" t="s">
        <v>200</v>
      </c>
      <c r="U54" s="683"/>
    </row>
    <row r="55" spans="6:31" ht="20.25" customHeight="1">
      <c r="F55" s="498">
        <v>8</v>
      </c>
      <c r="G55" s="507" t="str">
        <f>IFERROR(VLOOKUP(8,$D$5:$K$28,4,FALSE),"")</f>
        <v/>
      </c>
      <c r="H55" s="532" t="str">
        <f>IFERROR(VLOOKUP(8,$D$5:$K$28,5,FALSE),"")</f>
        <v/>
      </c>
      <c r="I55" s="549" t="str">
        <f>IFERROR(VLOOKUP(8,$D$5:$P$28,13,FALSE),"")</f>
        <v/>
      </c>
      <c r="J55" s="549" t="str">
        <f t="shared" si="9"/>
        <v>トラクタB</v>
      </c>
      <c r="K55" s="549" t="str">
        <f t="shared" si="9"/>
        <v>トラクタB</v>
      </c>
      <c r="L55" s="592"/>
      <c r="M55" s="604"/>
      <c r="N55" s="611" t="str">
        <f t="shared" si="10"/>
        <v/>
      </c>
      <c r="O55" s="604"/>
      <c r="P55" s="601"/>
      <c r="Q55" s="604"/>
      <c r="R55" s="656" t="str">
        <f t="shared" si="11"/>
        <v/>
      </c>
      <c r="S55" s="670"/>
      <c r="T55" s="677" t="s">
        <v>200</v>
      </c>
      <c r="U55" s="683"/>
    </row>
    <row r="56" spans="6:31" ht="20.25" customHeight="1">
      <c r="F56" s="498">
        <v>9</v>
      </c>
      <c r="G56" s="507" t="str">
        <f>IFERROR(VLOOKUP(9,$D$5:$K$28,4,FALSE),"")</f>
        <v/>
      </c>
      <c r="H56" s="532" t="str">
        <f>IFERROR(VLOOKUP(9,$D$5:$K$28,5,FALSE),"")</f>
        <v/>
      </c>
      <c r="I56" s="549" t="str">
        <f>IFERROR(VLOOKUP(9,$D$5:$P$28,13,FALSE),"")</f>
        <v/>
      </c>
      <c r="J56" s="549" t="str">
        <f t="shared" si="9"/>
        <v>トラクタB</v>
      </c>
      <c r="K56" s="549" t="str">
        <f t="shared" si="9"/>
        <v>トラクタB</v>
      </c>
      <c r="L56" s="592"/>
      <c r="M56" s="604"/>
      <c r="N56" s="611" t="str">
        <f t="shared" si="10"/>
        <v/>
      </c>
      <c r="O56" s="604"/>
      <c r="P56" s="630"/>
      <c r="Q56" s="604"/>
      <c r="R56" s="656" t="str">
        <f t="shared" si="11"/>
        <v/>
      </c>
      <c r="S56" s="670"/>
      <c r="T56" s="677" t="s">
        <v>200</v>
      </c>
      <c r="U56" s="683"/>
    </row>
    <row r="57" spans="6:31" ht="20.25" customHeight="1">
      <c r="F57" s="503">
        <v>10</v>
      </c>
      <c r="G57" s="509" t="str">
        <f>IFERROR(VLOOKUP(10,$D$5:$K$28,4,FALSE),"")</f>
        <v/>
      </c>
      <c r="H57" s="533" t="str">
        <f>IFERROR(VLOOKUP(10,$D$5:$K$28,5,FALSE),"")</f>
        <v/>
      </c>
      <c r="I57" s="550" t="str">
        <f>IFERROR(VLOOKUP(10,$D$5:$P$28,13,FALSE),"")</f>
        <v/>
      </c>
      <c r="J57" s="550" t="str">
        <f t="shared" si="9"/>
        <v>トラクタB</v>
      </c>
      <c r="K57" s="550" t="str">
        <f t="shared" si="9"/>
        <v>トラクタB</v>
      </c>
      <c r="L57" s="593"/>
      <c r="M57" s="605"/>
      <c r="N57" s="612" t="str">
        <f t="shared" si="10"/>
        <v/>
      </c>
      <c r="O57" s="605"/>
      <c r="P57" s="631"/>
      <c r="Q57" s="605"/>
      <c r="R57" s="657" t="str">
        <f t="shared" si="11"/>
        <v/>
      </c>
      <c r="S57" s="671"/>
      <c r="T57" s="678" t="s">
        <v>200</v>
      </c>
      <c r="U57" s="684"/>
    </row>
    <row r="58" spans="6:31" ht="15">
      <c r="F58" s="504"/>
      <c r="G58" s="518"/>
      <c r="H58" s="504"/>
      <c r="I58" s="504"/>
      <c r="J58" s="504"/>
      <c r="K58" s="504"/>
      <c r="L58" s="594"/>
      <c r="M58" s="501" t="s">
        <v>54</v>
      </c>
      <c r="N58" s="597"/>
      <c r="O58" s="597"/>
      <c r="P58" s="597"/>
      <c r="Q58" s="644"/>
      <c r="R58" s="658">
        <f>SUM(R48:R57)</f>
        <v>41666</v>
      </c>
      <c r="S58" s="653"/>
      <c r="T58" s="653"/>
      <c r="U58" s="653"/>
    </row>
    <row r="59" spans="6:31">
      <c r="F59" s="502"/>
      <c r="G59" s="516"/>
      <c r="H59" s="502"/>
      <c r="I59" s="502"/>
      <c r="J59" s="502"/>
      <c r="K59" s="502"/>
      <c r="L59" s="541"/>
      <c r="M59" s="535"/>
      <c r="N59" s="552"/>
      <c r="O59" s="552"/>
      <c r="P59" s="552"/>
      <c r="Q59" s="552"/>
      <c r="R59" s="653"/>
      <c r="S59" s="653"/>
      <c r="T59" s="653"/>
      <c r="U59" s="653"/>
    </row>
    <row r="61" spans="6:31" ht="18">
      <c r="F61" s="495" t="s">
        <v>153</v>
      </c>
    </row>
    <row r="62" spans="6:31" ht="20.25" customHeight="1">
      <c r="F62" s="497"/>
      <c r="G62" s="506" t="s">
        <v>62</v>
      </c>
      <c r="H62" s="527" t="s">
        <v>72</v>
      </c>
      <c r="I62" s="548" t="s">
        <v>240</v>
      </c>
      <c r="J62" s="559"/>
      <c r="K62" s="506" t="s">
        <v>241</v>
      </c>
      <c r="L62" s="595"/>
      <c r="M62" s="567" t="s">
        <v>53</v>
      </c>
      <c r="N62" s="613"/>
      <c r="O62" s="595"/>
      <c r="P62" s="632" t="s">
        <v>152</v>
      </c>
      <c r="Q62" s="645"/>
      <c r="R62" s="659" t="s">
        <v>74</v>
      </c>
      <c r="S62" s="668" t="s">
        <v>167</v>
      </c>
      <c r="T62" s="676"/>
      <c r="U62" s="681"/>
    </row>
    <row r="63" spans="6:31" ht="20.25" customHeight="1">
      <c r="F63" s="498">
        <v>1</v>
      </c>
      <c r="G63" s="517" t="str">
        <f>IFERROR(VLOOKUP(1,$E$5:$K$14,3,FALSE),"")</f>
        <v>トラクタA</v>
      </c>
      <c r="H63" s="537" t="str">
        <f>IFERROR(VLOOKUP(1,$E$5:$K$14,4,FALSE),"")</f>
        <v>R6.3</v>
      </c>
      <c r="I63" s="553">
        <f>IFERROR(VLOOKUP(1,$E$5:$P$14,12,FALSE),"")</f>
        <v>275000</v>
      </c>
      <c r="J63" s="560"/>
      <c r="K63" s="575">
        <v>7</v>
      </c>
      <c r="L63" s="596"/>
      <c r="M63" s="606">
        <v>10</v>
      </c>
      <c r="N63" s="614" t="s">
        <v>80</v>
      </c>
      <c r="O63" s="596"/>
      <c r="P63" s="606">
        <v>100</v>
      </c>
      <c r="Q63" s="604"/>
      <c r="R63" s="655">
        <f>IFERROR(IF(ISBLANK(I63),"",I63*AE66*(M63/12)*(P63/100)),"")</f>
        <v>32770.833333333336</v>
      </c>
      <c r="S63" s="669" t="s">
        <v>262</v>
      </c>
      <c r="T63" s="677" t="s">
        <v>200</v>
      </c>
      <c r="U63" s="682" t="s">
        <v>266</v>
      </c>
      <c r="Y63" s="701" t="s">
        <v>258</v>
      </c>
      <c r="Z63" s="701"/>
      <c r="AA63" s="701"/>
      <c r="AB63" s="701" t="s">
        <v>193</v>
      </c>
      <c r="AC63" s="701"/>
      <c r="AD63" s="701" t="s">
        <v>176</v>
      </c>
      <c r="AE63" s="701"/>
    </row>
    <row r="64" spans="6:31" ht="20.25" customHeight="1">
      <c r="F64" s="498">
        <v>2</v>
      </c>
      <c r="G64" s="517" t="str">
        <f>IFERROR(VLOOKUP(2,$E$5:$K$14,3,FALSE),"")</f>
        <v>コンバイン</v>
      </c>
      <c r="H64" s="538" t="str">
        <f>IFERROR(VLOOKUP(2,$E$5:$K$14,4,FALSE),"")</f>
        <v>R6.8</v>
      </c>
      <c r="I64" s="553">
        <f>IFERROR(VLOOKUP(2,$E$5:$P$14,12,FALSE),"")</f>
        <v>208333</v>
      </c>
      <c r="J64" s="560"/>
      <c r="K64" s="575">
        <v>7</v>
      </c>
      <c r="L64" s="596"/>
      <c r="M64" s="606">
        <v>5</v>
      </c>
      <c r="N64" s="614" t="s">
        <v>80</v>
      </c>
      <c r="O64" s="596"/>
      <c r="P64" s="606">
        <v>100</v>
      </c>
      <c r="Q64" s="604"/>
      <c r="R64" s="655">
        <f>IFERROR(IF(ISBLANK(I64),"",I64*AE66*(M64/12)*(P64/100)),"")</f>
        <v>12413.174583333333</v>
      </c>
      <c r="S64" s="669" t="s">
        <v>264</v>
      </c>
      <c r="T64" s="677" t="s">
        <v>200</v>
      </c>
      <c r="U64" s="682" t="s">
        <v>162</v>
      </c>
      <c r="Y64" s="701"/>
      <c r="Z64" s="701"/>
      <c r="AA64" s="701"/>
      <c r="AB64" s="729" t="s">
        <v>241</v>
      </c>
      <c r="AC64" s="734" t="s">
        <v>78</v>
      </c>
      <c r="AD64" s="729" t="s">
        <v>241</v>
      </c>
      <c r="AE64" s="734" t="s">
        <v>78</v>
      </c>
    </row>
    <row r="65" spans="6:31" ht="20.25" customHeight="1">
      <c r="F65" s="498">
        <v>3</v>
      </c>
      <c r="G65" s="517" t="str">
        <f>IFERROR(VLOOKUP(3,$E$5:$K$14,3,FALSE),"")</f>
        <v/>
      </c>
      <c r="H65" s="539" t="str">
        <f>IFERROR(VLOOKUP(3,$E$5:$K$14,4,FALSE),"")</f>
        <v/>
      </c>
      <c r="I65" s="554" t="str">
        <f>IFERROR(VLOOKUP(3,$E$5:$P$14,12,FALSE),"")</f>
        <v/>
      </c>
      <c r="J65" s="561" t="s">
        <v>155</v>
      </c>
      <c r="K65" s="576"/>
      <c r="L65" s="561" t="s">
        <v>198</v>
      </c>
      <c r="M65" s="607"/>
      <c r="N65" s="614" t="s">
        <v>80</v>
      </c>
      <c r="O65" s="561" t="s">
        <v>198</v>
      </c>
      <c r="P65" s="633"/>
      <c r="Q65" s="619" t="s">
        <v>196</v>
      </c>
      <c r="R65" s="656" t="str">
        <f>IFERROR(IF(ISBLANK(I65),"",I65*AE66*(M65/12)*(P65/100)),"")</f>
        <v/>
      </c>
      <c r="S65" s="670"/>
      <c r="T65" s="677" t="s">
        <v>200</v>
      </c>
      <c r="U65" s="683"/>
      <c r="Y65" s="702" t="s">
        <v>213</v>
      </c>
      <c r="Z65" s="713"/>
      <c r="AA65" s="722"/>
      <c r="AB65" s="730">
        <v>15</v>
      </c>
      <c r="AC65" s="735">
        <v>6.6000000000000003e-002</v>
      </c>
      <c r="AD65" s="730">
        <v>15</v>
      </c>
      <c r="AE65" s="735">
        <v>6.7000000000000004e-002</v>
      </c>
    </row>
    <row r="66" spans="6:31" ht="20.25" customHeight="1">
      <c r="F66" s="498">
        <v>4</v>
      </c>
      <c r="G66" s="517" t="str">
        <f>IFERROR(VLOOKUP(4,$E$5:$K$14,3,FALSE),"")</f>
        <v/>
      </c>
      <c r="H66" s="539" t="str">
        <f>IFERROR(VLOOKUP(4,$E$5:$K$14,4,FALSE),"")</f>
        <v/>
      </c>
      <c r="I66" s="554" t="str">
        <f>IFERROR(VLOOKUP(4,$E$5:$P$14,12,FALSE),"")</f>
        <v/>
      </c>
      <c r="J66" s="561"/>
      <c r="K66" s="576"/>
      <c r="L66" s="596"/>
      <c r="M66" s="607"/>
      <c r="N66" s="614" t="s">
        <v>80</v>
      </c>
      <c r="O66" s="561"/>
      <c r="P66" s="633"/>
      <c r="Q66" s="619"/>
      <c r="R66" s="656" t="str">
        <f>IFERROR(IF(ISBLANK(I66),"",I66*AE66*(M66/12)*(P66/100)),"")</f>
        <v/>
      </c>
      <c r="S66" s="670"/>
      <c r="T66" s="677" t="s">
        <v>200</v>
      </c>
      <c r="U66" s="683"/>
      <c r="Y66" s="703" t="s">
        <v>229</v>
      </c>
      <c r="Z66" s="714"/>
      <c r="AA66" s="723"/>
      <c r="AB66" s="731">
        <v>7</v>
      </c>
      <c r="AC66" s="736">
        <v>0.14199999999999999</v>
      </c>
      <c r="AD66" s="731">
        <v>7</v>
      </c>
      <c r="AE66" s="736">
        <v>0.14299999999999999</v>
      </c>
    </row>
    <row r="67" spans="6:31" ht="20.25" customHeight="1">
      <c r="F67" s="498">
        <v>5</v>
      </c>
      <c r="G67" s="517" t="str">
        <f>IFERROR(VLOOKUP(5,$E$5:$K$14,3,FALSE),"")</f>
        <v/>
      </c>
      <c r="H67" s="539" t="str">
        <f>IFERROR(VLOOKUP(5,$E$5:$K$14,4,FALSE),"")</f>
        <v/>
      </c>
      <c r="I67" s="555" t="str">
        <f>IFERROR(VLOOKUP(5,$E$5:$P$14,12,FALSE),"")</f>
        <v/>
      </c>
      <c r="J67" s="562"/>
      <c r="K67" s="577"/>
      <c r="L67" s="596"/>
      <c r="M67" s="607"/>
      <c r="N67" s="614" t="s">
        <v>80</v>
      </c>
      <c r="O67" s="596"/>
      <c r="P67" s="633"/>
      <c r="Q67" s="604"/>
      <c r="R67" s="656" t="str">
        <f>IFERROR(IF(ISBLANK(I67),"",I67*AE66*(M67/12)*(P67/100)),"")</f>
        <v/>
      </c>
      <c r="S67" s="672"/>
      <c r="T67" s="679" t="s">
        <v>200</v>
      </c>
      <c r="U67" s="685"/>
      <c r="Y67" s="704" t="s">
        <v>259</v>
      </c>
      <c r="Z67" s="715"/>
      <c r="AA67" s="724"/>
      <c r="AB67" s="732">
        <v>4</v>
      </c>
      <c r="AC67" s="737">
        <v>0.25</v>
      </c>
      <c r="AD67" s="732">
        <v>4</v>
      </c>
      <c r="AE67" s="737">
        <v>0.25</v>
      </c>
    </row>
    <row r="68" spans="6:31" ht="18">
      <c r="F68" s="505"/>
      <c r="G68" s="518"/>
      <c r="H68" s="505"/>
      <c r="I68" s="500"/>
      <c r="J68" s="500"/>
      <c r="K68" s="535"/>
      <c r="L68" s="597"/>
      <c r="M68" s="501" t="s">
        <v>228</v>
      </c>
      <c r="N68" s="597"/>
      <c r="O68" s="597"/>
      <c r="P68" s="597"/>
      <c r="Q68" s="644"/>
      <c r="R68" s="660">
        <f>SUM(R63:R67)</f>
        <v>45184.007916666669</v>
      </c>
      <c r="S68" s="500"/>
      <c r="T68" s="500"/>
      <c r="U68" s="500"/>
    </row>
    <row r="69" spans="6:31">
      <c r="F69" s="500"/>
      <c r="G69" s="516"/>
      <c r="H69" s="500"/>
      <c r="I69" s="500"/>
      <c r="J69" s="500"/>
      <c r="K69" s="535"/>
      <c r="L69" s="552"/>
      <c r="M69" s="535"/>
      <c r="N69" s="552"/>
      <c r="O69" s="552"/>
      <c r="P69" s="552"/>
      <c r="Q69" s="552"/>
      <c r="R69" s="500"/>
      <c r="S69" s="500"/>
      <c r="T69" s="500"/>
      <c r="U69" s="500"/>
    </row>
    <row r="70" spans="6:31" ht="18">
      <c r="F70" s="495" t="s">
        <v>186</v>
      </c>
    </row>
    <row r="71" spans="6:31" ht="20.25" customHeight="1">
      <c r="F71" s="497"/>
      <c r="G71" s="506" t="s">
        <v>62</v>
      </c>
      <c r="H71" s="527" t="s">
        <v>72</v>
      </c>
      <c r="I71" s="548" t="s">
        <v>240</v>
      </c>
      <c r="J71" s="559"/>
      <c r="K71" s="506" t="s">
        <v>78</v>
      </c>
      <c r="L71" s="595"/>
      <c r="M71" s="567" t="s">
        <v>53</v>
      </c>
      <c r="N71" s="613"/>
      <c r="O71" s="595"/>
      <c r="P71" s="632" t="s">
        <v>152</v>
      </c>
      <c r="Q71" s="645"/>
      <c r="R71" s="659" t="s">
        <v>74</v>
      </c>
      <c r="S71" s="668" t="s">
        <v>167</v>
      </c>
      <c r="T71" s="676"/>
      <c r="U71" s="681"/>
    </row>
    <row r="72" spans="6:31" ht="20.25" customHeight="1">
      <c r="F72" s="498">
        <v>1</v>
      </c>
      <c r="G72" s="517" t="str">
        <f>IFERROR(VLOOKUP(1,$E$19:$K$28,3,FALSE),"")</f>
        <v>乾燥機</v>
      </c>
      <c r="H72" s="537" t="str">
        <f>IFERROR(VLOOKUP(1,$E$19:$K$28,4,FALSE),"")</f>
        <v>R3.5</v>
      </c>
      <c r="I72" s="553">
        <f>IFERROR(VLOOKUP(1,$E$19:$P$28,12,FALSE),"")</f>
        <v>450000</v>
      </c>
      <c r="J72" s="560"/>
      <c r="K72" s="578">
        <v>0.14299999999999999</v>
      </c>
      <c r="L72" s="596"/>
      <c r="M72" s="606">
        <v>12</v>
      </c>
      <c r="N72" s="614" t="s">
        <v>80</v>
      </c>
      <c r="O72" s="596"/>
      <c r="P72" s="606">
        <v>100</v>
      </c>
      <c r="Q72" s="604"/>
      <c r="R72" s="655">
        <f>IF(ISBLANK(I72),"",I72*K72*(M72/12)*(P72/100))</f>
        <v>64349.999999999993</v>
      </c>
      <c r="S72" s="669" t="s">
        <v>257</v>
      </c>
      <c r="T72" s="677" t="s">
        <v>200</v>
      </c>
      <c r="U72" s="682" t="s">
        <v>101</v>
      </c>
    </row>
    <row r="73" spans="6:31" ht="20.25" customHeight="1">
      <c r="F73" s="498">
        <v>2</v>
      </c>
      <c r="G73" s="507" t="str">
        <f>IFERROR(VLOOKUP(2,$E$19:$K$28,3,FALSE),"")</f>
        <v/>
      </c>
      <c r="H73" s="539" t="str">
        <f>IFERROR(VLOOKUP(2,$E$19:$K$28,4,FALSE),"")</f>
        <v/>
      </c>
      <c r="I73" s="554" t="str">
        <f>IFERROR(VLOOKUP(2,$E$19:$P$28,12,FALSE),"")</f>
        <v/>
      </c>
      <c r="J73" s="560"/>
      <c r="K73" s="579"/>
      <c r="L73" s="596"/>
      <c r="M73" s="607"/>
      <c r="N73" s="614" t="s">
        <v>80</v>
      </c>
      <c r="O73" s="596"/>
      <c r="P73" s="633"/>
      <c r="Q73" s="604"/>
      <c r="R73" s="656" t="str">
        <f t="shared" ref="R73:R81" si="12">IFERROR(IF(ISBLANK(I73),"",I73*0.9*K73*(M73/12)*(P73/100)),"")</f>
        <v/>
      </c>
      <c r="S73" s="670"/>
      <c r="T73" s="677" t="s">
        <v>200</v>
      </c>
      <c r="U73" s="683"/>
    </row>
    <row r="74" spans="6:31" ht="20.25" customHeight="1">
      <c r="F74" s="498">
        <v>3</v>
      </c>
      <c r="G74" s="507" t="str">
        <f>IFERROR(VLOOKUP(3,$E$19:$K$28,3,FALSE),"")</f>
        <v/>
      </c>
      <c r="H74" s="539" t="str">
        <f>IFERROR(VLOOKUP(3,$E$19:$K$28,4,FALSE),"")</f>
        <v/>
      </c>
      <c r="I74" s="554" t="str">
        <f>IFERROR(VLOOKUP(3,$E$19:$P$28,12,FALSE),"")</f>
        <v/>
      </c>
      <c r="J74" s="560"/>
      <c r="K74" s="579"/>
      <c r="L74" s="596"/>
      <c r="M74" s="607"/>
      <c r="N74" s="614" t="s">
        <v>80</v>
      </c>
      <c r="O74" s="596"/>
      <c r="P74" s="633"/>
      <c r="Q74" s="604"/>
      <c r="R74" s="656" t="str">
        <f t="shared" si="12"/>
        <v/>
      </c>
      <c r="S74" s="670"/>
      <c r="T74" s="677" t="s">
        <v>200</v>
      </c>
      <c r="U74" s="683"/>
    </row>
    <row r="75" spans="6:31" ht="20.25" customHeight="1">
      <c r="F75" s="498">
        <v>4</v>
      </c>
      <c r="G75" s="507" t="str">
        <f>IFERROR(VLOOKUP(4,$E$19:$K$28,3,FALSE),"")</f>
        <v/>
      </c>
      <c r="H75" s="539" t="str">
        <f>IFERROR(VLOOKUP(4,$E$19:$K$28,4,FALSE),"")</f>
        <v/>
      </c>
      <c r="I75" s="554" t="str">
        <f>IFERROR(VLOOKUP(4,$E$19:$P$28,12,FALSE),"")</f>
        <v/>
      </c>
      <c r="J75" s="561"/>
      <c r="K75" s="579"/>
      <c r="L75" s="596" t="s">
        <v>198</v>
      </c>
      <c r="M75" s="607"/>
      <c r="N75" s="614" t="s">
        <v>80</v>
      </c>
      <c r="O75" s="561" t="s">
        <v>198</v>
      </c>
      <c r="P75" s="633"/>
      <c r="Q75" s="619" t="s">
        <v>196</v>
      </c>
      <c r="R75" s="656" t="str">
        <f t="shared" si="12"/>
        <v/>
      </c>
      <c r="S75" s="670"/>
      <c r="T75" s="677" t="s">
        <v>200</v>
      </c>
      <c r="U75" s="683"/>
    </row>
    <row r="76" spans="6:31" ht="20.25" customHeight="1">
      <c r="F76" s="498">
        <v>5</v>
      </c>
      <c r="G76" s="507" t="str">
        <f>IFERROR(VLOOKUP(5,$E$19:$K$28,3,FALSE),"")</f>
        <v/>
      </c>
      <c r="H76" s="539" t="str">
        <f>IFERROR(VLOOKUP(5,$E$19:$K$28,4,FALSE),"")</f>
        <v/>
      </c>
      <c r="I76" s="554" t="e">
        <f>VLOOKUP(5,$E$19:$P$28,12,FALSE)</f>
        <v>#N/A</v>
      </c>
      <c r="J76" s="561" t="s">
        <v>198</v>
      </c>
      <c r="K76" s="579"/>
      <c r="L76" s="596"/>
      <c r="M76" s="607"/>
      <c r="N76" s="614" t="s">
        <v>80</v>
      </c>
      <c r="O76" s="596"/>
      <c r="P76" s="633"/>
      <c r="Q76" s="604"/>
      <c r="R76" s="656" t="str">
        <f t="shared" si="12"/>
        <v/>
      </c>
      <c r="S76" s="670"/>
      <c r="T76" s="677" t="s">
        <v>200</v>
      </c>
      <c r="U76" s="683"/>
    </row>
    <row r="77" spans="6:31" ht="20.25" customHeight="1">
      <c r="F77" s="498">
        <v>6</v>
      </c>
      <c r="G77" s="507" t="str">
        <f>IFERROR(VLOOKUP(6,$E$19:$K$28,3,FALSE),"")</f>
        <v/>
      </c>
      <c r="H77" s="539" t="str">
        <f>IFERROR(VLOOKUP(6,$E$19:$K$28,4,FALSE),"")</f>
        <v/>
      </c>
      <c r="I77" s="554" t="str">
        <f>IFERROR(VLOOKUP(6,$E$19:$P$28,12,FALSE),"")</f>
        <v/>
      </c>
      <c r="J77" s="560"/>
      <c r="K77" s="579"/>
      <c r="L77" s="596"/>
      <c r="M77" s="607"/>
      <c r="N77" s="614" t="s">
        <v>80</v>
      </c>
      <c r="O77" s="596"/>
      <c r="P77" s="633"/>
      <c r="Q77" s="604"/>
      <c r="R77" s="656" t="str">
        <f t="shared" si="12"/>
        <v/>
      </c>
      <c r="S77" s="670"/>
      <c r="T77" s="677" t="s">
        <v>200</v>
      </c>
      <c r="U77" s="683"/>
    </row>
    <row r="78" spans="6:31" ht="20.25" customHeight="1">
      <c r="F78" s="498">
        <v>7</v>
      </c>
      <c r="G78" s="507" t="str">
        <f>IFERROR(VLOOKUP(7,$E$19:$K$28,3,FALSE),"")</f>
        <v/>
      </c>
      <c r="H78" s="539" t="str">
        <f>IFERROR(VLOOKUP(7,$E$19:$K$28,4,FALSE),"")</f>
        <v/>
      </c>
      <c r="I78" s="554" t="str">
        <f>IFERROR(VLOOKUP(7,$E$19:$P$28,12,FALSE),"")</f>
        <v/>
      </c>
      <c r="J78" s="561"/>
      <c r="K78" s="576"/>
      <c r="L78" s="561"/>
      <c r="M78" s="607"/>
      <c r="N78" s="614" t="s">
        <v>80</v>
      </c>
      <c r="O78" s="561"/>
      <c r="P78" s="634"/>
      <c r="Q78" s="619"/>
      <c r="R78" s="656" t="str">
        <f t="shared" si="12"/>
        <v/>
      </c>
      <c r="S78" s="670"/>
      <c r="T78" s="677" t="s">
        <v>200</v>
      </c>
      <c r="U78" s="683"/>
    </row>
    <row r="79" spans="6:31" ht="20.25" customHeight="1">
      <c r="F79" s="498">
        <v>8</v>
      </c>
      <c r="G79" s="507" t="str">
        <f>IFERROR(VLOOKUP(8,$E$19:$K$28,3,FALSE),"")</f>
        <v/>
      </c>
      <c r="H79" s="539" t="str">
        <f>IFERROR(VLOOKUP(8,$E$19:$K$28,4,FALSE),"")</f>
        <v/>
      </c>
      <c r="I79" s="554" t="str">
        <f>IFERROR(VLOOKUP(8,$E$19:$P$28,12,FALSE),"")</f>
        <v/>
      </c>
      <c r="J79" s="563"/>
      <c r="K79" s="579"/>
      <c r="L79" s="596"/>
      <c r="M79" s="607"/>
      <c r="N79" s="614" t="s">
        <v>80</v>
      </c>
      <c r="O79" s="596"/>
      <c r="P79" s="633"/>
      <c r="Q79" s="604"/>
      <c r="R79" s="656" t="str">
        <f t="shared" si="12"/>
        <v/>
      </c>
      <c r="S79" s="670"/>
      <c r="T79" s="677" t="s">
        <v>200</v>
      </c>
      <c r="U79" s="683"/>
    </row>
    <row r="80" spans="6:31" ht="20.25" customHeight="1">
      <c r="F80" s="498">
        <v>9</v>
      </c>
      <c r="G80" s="507" t="str">
        <f>IFERROR(VLOOKUP(9,$E$19:$K$28,3,FALSE),"")</f>
        <v/>
      </c>
      <c r="H80" s="539" t="str">
        <f>IFERROR(VLOOKUP(9,$E$19:$K$28,4,FALSE),"")</f>
        <v/>
      </c>
      <c r="I80" s="554" t="str">
        <f>IFERROR(VLOOKUP(9,$E$19:$P$28,12,FALSE),"")</f>
        <v/>
      </c>
      <c r="J80" s="560"/>
      <c r="K80" s="579"/>
      <c r="L80" s="596"/>
      <c r="M80" s="607"/>
      <c r="N80" s="614" t="s">
        <v>80</v>
      </c>
      <c r="O80" s="596"/>
      <c r="P80" s="633"/>
      <c r="Q80" s="604"/>
      <c r="R80" s="656" t="str">
        <f t="shared" si="12"/>
        <v/>
      </c>
      <c r="S80" s="670"/>
      <c r="T80" s="677" t="s">
        <v>200</v>
      </c>
      <c r="U80" s="683"/>
    </row>
    <row r="81" spans="6:21" ht="20.25" customHeight="1">
      <c r="F81" s="503">
        <v>10</v>
      </c>
      <c r="G81" s="508" t="str">
        <f>IFERROR(VLOOKUP(10,$E$19:$K$28,3,FALSE),"")</f>
        <v/>
      </c>
      <c r="H81" s="540" t="str">
        <f>IFERROR(VLOOKUP(10,$E$19:$K$28,4,FALSE),"")</f>
        <v/>
      </c>
      <c r="I81" s="556" t="str">
        <f>IFERROR(VLOOKUP(10,$E$19:$P$28,12,FALSE),"")</f>
        <v/>
      </c>
      <c r="J81" s="562"/>
      <c r="K81" s="580"/>
      <c r="L81" s="598"/>
      <c r="M81" s="608"/>
      <c r="N81" s="615" t="s">
        <v>80</v>
      </c>
      <c r="O81" s="598"/>
      <c r="P81" s="635"/>
      <c r="Q81" s="605"/>
      <c r="R81" s="661" t="str">
        <f t="shared" si="12"/>
        <v/>
      </c>
      <c r="S81" s="671"/>
      <c r="T81" s="678" t="s">
        <v>200</v>
      </c>
      <c r="U81" s="684"/>
    </row>
    <row r="82" spans="6:21" ht="15">
      <c r="F82" s="505"/>
      <c r="G82" s="518"/>
      <c r="H82" s="505"/>
      <c r="I82" s="505"/>
      <c r="J82" s="500"/>
      <c r="K82" s="501"/>
      <c r="L82" s="597"/>
      <c r="M82" s="501" t="s">
        <v>158</v>
      </c>
      <c r="N82" s="597"/>
      <c r="O82" s="597"/>
      <c r="P82" s="597"/>
      <c r="Q82" s="644"/>
      <c r="R82" s="662">
        <f>SUM(R72:R81)</f>
        <v>64349.999999999993</v>
      </c>
      <c r="S82" s="500"/>
      <c r="T82" s="500"/>
      <c r="U82" s="500"/>
    </row>
    <row r="83" spans="6:21" ht="6.75" customHeight="1"/>
    <row r="84" spans="6:21">
      <c r="G84" s="495" t="s">
        <v>235</v>
      </c>
      <c r="O84" s="375"/>
    </row>
    <row r="85" spans="6:21">
      <c r="G85" s="516"/>
      <c r="H85" s="415"/>
      <c r="I85" s="415"/>
      <c r="J85" s="415"/>
      <c r="K85" s="516"/>
      <c r="L85" s="516"/>
      <c r="M85" s="415"/>
      <c r="P85" s="636" t="s">
        <v>76</v>
      </c>
      <c r="Q85" s="646"/>
      <c r="R85" s="663">
        <f>$I$43</f>
        <v>50000</v>
      </c>
      <c r="S85" s="653"/>
      <c r="T85" s="653"/>
      <c r="U85" s="653"/>
    </row>
    <row r="86" spans="6:21">
      <c r="G86" s="519"/>
      <c r="H86" s="541"/>
      <c r="I86" s="541"/>
      <c r="J86" s="541"/>
      <c r="K86" s="516"/>
      <c r="L86" s="516"/>
      <c r="M86" s="415"/>
      <c r="P86" s="637" t="s">
        <v>81</v>
      </c>
      <c r="Q86" s="647"/>
      <c r="R86" s="664">
        <f>$R$58</f>
        <v>41666</v>
      </c>
      <c r="S86" s="653"/>
      <c r="T86" s="653"/>
      <c r="U86" s="653"/>
    </row>
    <row r="87" spans="6:21" ht="15">
      <c r="G87" s="519"/>
      <c r="H87" s="541"/>
      <c r="I87" s="541"/>
      <c r="J87" s="541"/>
      <c r="K87" s="516"/>
      <c r="L87" s="516"/>
      <c r="M87" s="415"/>
      <c r="P87" s="638" t="s">
        <v>40</v>
      </c>
      <c r="Q87" s="648"/>
      <c r="R87" s="665">
        <f>$R$68+$R$82</f>
        <v>109534.00791666665</v>
      </c>
      <c r="S87" s="500"/>
      <c r="T87" s="500"/>
      <c r="U87" s="500"/>
    </row>
    <row r="88" spans="6:21" ht="15">
      <c r="G88" s="519"/>
      <c r="H88" s="541"/>
      <c r="I88" s="541"/>
      <c r="J88" s="541"/>
      <c r="K88" s="516"/>
      <c r="L88" s="516"/>
      <c r="M88" s="415"/>
      <c r="O88" s="621"/>
      <c r="P88" s="621"/>
      <c r="Q88" s="621"/>
      <c r="R88" s="658">
        <f>SUM(R85:R87)</f>
        <v>201200.00791666665</v>
      </c>
      <c r="S88" s="653"/>
      <c r="T88" s="653"/>
      <c r="U88" s="653"/>
    </row>
    <row r="89" spans="6:21">
      <c r="G89" s="519"/>
      <c r="H89" s="519"/>
      <c r="I89" s="541"/>
      <c r="J89" s="541"/>
      <c r="K89" s="516"/>
      <c r="L89" s="516"/>
      <c r="M89" s="516"/>
    </row>
    <row r="91" spans="6:21">
      <c r="G91" s="520"/>
      <c r="H91" s="520"/>
    </row>
  </sheetData>
  <mergeCells count="429">
    <mergeCell ref="I4:K4"/>
    <mergeCell ref="M4:N4"/>
    <mergeCell ref="R4:T4"/>
    <mergeCell ref="I5:K5"/>
    <mergeCell ref="M5:N5"/>
    <mergeCell ref="I6:K6"/>
    <mergeCell ref="M6:N6"/>
    <mergeCell ref="AA6:AB6"/>
    <mergeCell ref="AC6:AD6"/>
    <mergeCell ref="AE6:AF6"/>
    <mergeCell ref="AG6:AH6"/>
    <mergeCell ref="AI6:AJ6"/>
    <mergeCell ref="AK6:AL6"/>
    <mergeCell ref="AM6:AN6"/>
    <mergeCell ref="AO6:AP6"/>
    <mergeCell ref="AQ6:AR6"/>
    <mergeCell ref="AS6:AT6"/>
    <mergeCell ref="I7:K7"/>
    <mergeCell ref="M7:N7"/>
    <mergeCell ref="AA7:AB7"/>
    <mergeCell ref="AC7:AD7"/>
    <mergeCell ref="AE7:AF7"/>
    <mergeCell ref="AG7:AH7"/>
    <mergeCell ref="AI7:AJ7"/>
    <mergeCell ref="AK7:AL7"/>
    <mergeCell ref="AM7:AN7"/>
    <mergeCell ref="AO7:AP7"/>
    <mergeCell ref="AQ7:AR7"/>
    <mergeCell ref="AS7:AT7"/>
    <mergeCell ref="I8:K8"/>
    <mergeCell ref="M8:N8"/>
    <mergeCell ref="AA8:AB8"/>
    <mergeCell ref="AC8:AD8"/>
    <mergeCell ref="AE8:AF8"/>
    <mergeCell ref="AG8:AH8"/>
    <mergeCell ref="AI8:AJ8"/>
    <mergeCell ref="AK8:AL8"/>
    <mergeCell ref="AM8:AN8"/>
    <mergeCell ref="AO8:AP8"/>
    <mergeCell ref="AQ8:AR8"/>
    <mergeCell ref="AS8:AT8"/>
    <mergeCell ref="I9:K9"/>
    <mergeCell ref="M9:N9"/>
    <mergeCell ref="AA9:AB9"/>
    <mergeCell ref="AC9:AD9"/>
    <mergeCell ref="AE9:AF9"/>
    <mergeCell ref="AG9:AH9"/>
    <mergeCell ref="AI9:AJ9"/>
    <mergeCell ref="AK9:AL9"/>
    <mergeCell ref="AM9:AN9"/>
    <mergeCell ref="AO9:AP9"/>
    <mergeCell ref="AQ9:AR9"/>
    <mergeCell ref="AS9:AT9"/>
    <mergeCell ref="I10:K10"/>
    <mergeCell ref="M10:N10"/>
    <mergeCell ref="AA10:AB10"/>
    <mergeCell ref="AC10:AD10"/>
    <mergeCell ref="AE10:AF10"/>
    <mergeCell ref="AG10:AH10"/>
    <mergeCell ref="AI10:AJ10"/>
    <mergeCell ref="AK10:AL10"/>
    <mergeCell ref="AM10:AN10"/>
    <mergeCell ref="AO10:AP10"/>
    <mergeCell ref="AQ10:AR10"/>
    <mergeCell ref="AS10:AT10"/>
    <mergeCell ref="I11:K11"/>
    <mergeCell ref="M11:N11"/>
    <mergeCell ref="AA11:AB11"/>
    <mergeCell ref="AC11:AD11"/>
    <mergeCell ref="AE11:AF11"/>
    <mergeCell ref="AG11:AH11"/>
    <mergeCell ref="AI11:AJ11"/>
    <mergeCell ref="AK11:AL11"/>
    <mergeCell ref="AM11:AN11"/>
    <mergeCell ref="AO11:AP11"/>
    <mergeCell ref="AQ11:AR11"/>
    <mergeCell ref="AS11:AT11"/>
    <mergeCell ref="I12:K12"/>
    <mergeCell ref="M12:N12"/>
    <mergeCell ref="AA12:AB12"/>
    <mergeCell ref="AC12:AD12"/>
    <mergeCell ref="AE12:AF12"/>
    <mergeCell ref="AG12:AH12"/>
    <mergeCell ref="AI12:AJ12"/>
    <mergeCell ref="AK12:AL12"/>
    <mergeCell ref="AM12:AN12"/>
    <mergeCell ref="AO12:AP12"/>
    <mergeCell ref="AQ12:AR12"/>
    <mergeCell ref="AS12:AT12"/>
    <mergeCell ref="I13:K13"/>
    <mergeCell ref="M13:N13"/>
    <mergeCell ref="AA13:AB13"/>
    <mergeCell ref="AC13:AD13"/>
    <mergeCell ref="AE13:AF13"/>
    <mergeCell ref="AG13:AH13"/>
    <mergeCell ref="AI13:AJ13"/>
    <mergeCell ref="AK13:AL13"/>
    <mergeCell ref="AM13:AN13"/>
    <mergeCell ref="AO13:AP13"/>
    <mergeCell ref="AQ13:AR13"/>
    <mergeCell ref="AS13:AT13"/>
    <mergeCell ref="I14:K14"/>
    <mergeCell ref="M14:N14"/>
    <mergeCell ref="AA14:AB14"/>
    <mergeCell ref="AC14:AD14"/>
    <mergeCell ref="AE14:AF14"/>
    <mergeCell ref="AG14:AH14"/>
    <mergeCell ref="AI14:AJ14"/>
    <mergeCell ref="AK14:AL14"/>
    <mergeCell ref="AM14:AN14"/>
    <mergeCell ref="AO14:AP14"/>
    <mergeCell ref="AQ14:AR14"/>
    <mergeCell ref="AS14:AT14"/>
    <mergeCell ref="AA15:AB15"/>
    <mergeCell ref="AC15:AD15"/>
    <mergeCell ref="AE15:AF15"/>
    <mergeCell ref="AG15:AH15"/>
    <mergeCell ref="AI15:AJ15"/>
    <mergeCell ref="AK15:AL15"/>
    <mergeCell ref="AM15:AN15"/>
    <mergeCell ref="AO15:AP15"/>
    <mergeCell ref="AQ15:AR15"/>
    <mergeCell ref="AS15:AT15"/>
    <mergeCell ref="AA16:AB16"/>
    <mergeCell ref="AC16:AD16"/>
    <mergeCell ref="AE16:AF16"/>
    <mergeCell ref="AG16:AH16"/>
    <mergeCell ref="AI16:AJ16"/>
    <mergeCell ref="AK16:AL16"/>
    <mergeCell ref="AM16:AN16"/>
    <mergeCell ref="AO16:AP16"/>
    <mergeCell ref="AQ16:AR16"/>
    <mergeCell ref="AS16:AT16"/>
    <mergeCell ref="AA17:AB17"/>
    <mergeCell ref="AC17:AD17"/>
    <mergeCell ref="AE17:AF17"/>
    <mergeCell ref="AG17:AH17"/>
    <mergeCell ref="AI17:AJ17"/>
    <mergeCell ref="AK17:AL17"/>
    <mergeCell ref="AM17:AN17"/>
    <mergeCell ref="AO17:AP17"/>
    <mergeCell ref="AQ17:AR17"/>
    <mergeCell ref="AS17:AT17"/>
    <mergeCell ref="I18:K18"/>
    <mergeCell ref="M18:N18"/>
    <mergeCell ref="R18:T18"/>
    <mergeCell ref="AA18:AB18"/>
    <mergeCell ref="AC18:AD18"/>
    <mergeCell ref="AE18:AF18"/>
    <mergeCell ref="AG18:AH18"/>
    <mergeCell ref="AI18:AJ18"/>
    <mergeCell ref="AK18:AL18"/>
    <mergeCell ref="AM18:AN18"/>
    <mergeCell ref="AO18:AP18"/>
    <mergeCell ref="AQ18:AR18"/>
    <mergeCell ref="AS18:AT18"/>
    <mergeCell ref="I19:K19"/>
    <mergeCell ref="M19:N19"/>
    <mergeCell ref="AA19:AB19"/>
    <mergeCell ref="AC19:AD19"/>
    <mergeCell ref="AE19:AF19"/>
    <mergeCell ref="AG19:AH19"/>
    <mergeCell ref="AI19:AJ19"/>
    <mergeCell ref="AK19:AL19"/>
    <mergeCell ref="AM19:AN19"/>
    <mergeCell ref="AO19:AP19"/>
    <mergeCell ref="AQ19:AR19"/>
    <mergeCell ref="AS19:AT19"/>
    <mergeCell ref="I20:K20"/>
    <mergeCell ref="M20:N20"/>
    <mergeCell ref="AA20:AB20"/>
    <mergeCell ref="AC20:AD20"/>
    <mergeCell ref="AE20:AF20"/>
    <mergeCell ref="AG20:AH20"/>
    <mergeCell ref="AI20:AJ20"/>
    <mergeCell ref="AK20:AL20"/>
    <mergeCell ref="AM20:AN20"/>
    <mergeCell ref="AO20:AP20"/>
    <mergeCell ref="AQ20:AR20"/>
    <mergeCell ref="AS20:AT20"/>
    <mergeCell ref="I21:K21"/>
    <mergeCell ref="M21:N21"/>
    <mergeCell ref="AA21:AB21"/>
    <mergeCell ref="AC21:AD21"/>
    <mergeCell ref="AE21:AF21"/>
    <mergeCell ref="AG21:AH21"/>
    <mergeCell ref="AI21:AJ21"/>
    <mergeCell ref="AK21:AL21"/>
    <mergeCell ref="AM21:AN21"/>
    <mergeCell ref="AO21:AP21"/>
    <mergeCell ref="AQ21:AR21"/>
    <mergeCell ref="AS21:AT21"/>
    <mergeCell ref="I22:K22"/>
    <mergeCell ref="M22:N22"/>
    <mergeCell ref="AA22:AB22"/>
    <mergeCell ref="AC22:AD22"/>
    <mergeCell ref="AE22:AF22"/>
    <mergeCell ref="AG22:AH22"/>
    <mergeCell ref="AI22:AJ22"/>
    <mergeCell ref="AK22:AL22"/>
    <mergeCell ref="AM22:AN22"/>
    <mergeCell ref="AO22:AP22"/>
    <mergeCell ref="AQ22:AR22"/>
    <mergeCell ref="AS22:AT22"/>
    <mergeCell ref="I23:K23"/>
    <mergeCell ref="M23:N23"/>
    <mergeCell ref="AA23:AB23"/>
    <mergeCell ref="AC23:AD23"/>
    <mergeCell ref="AE23:AF23"/>
    <mergeCell ref="AG23:AH23"/>
    <mergeCell ref="AI23:AJ23"/>
    <mergeCell ref="AK23:AL23"/>
    <mergeCell ref="AM23:AN23"/>
    <mergeCell ref="AO23:AP23"/>
    <mergeCell ref="AQ23:AR23"/>
    <mergeCell ref="AS23:AT23"/>
    <mergeCell ref="I24:K24"/>
    <mergeCell ref="M24:N24"/>
    <mergeCell ref="AA24:AB24"/>
    <mergeCell ref="AC24:AD24"/>
    <mergeCell ref="AE24:AF24"/>
    <mergeCell ref="AG24:AH24"/>
    <mergeCell ref="AI24:AJ24"/>
    <mergeCell ref="AK24:AL24"/>
    <mergeCell ref="AM24:AN24"/>
    <mergeCell ref="AO24:AP24"/>
    <mergeCell ref="AQ24:AR24"/>
    <mergeCell ref="AS24:AT24"/>
    <mergeCell ref="I25:K25"/>
    <mergeCell ref="M25:N25"/>
    <mergeCell ref="AA25:AB25"/>
    <mergeCell ref="AC25:AD25"/>
    <mergeCell ref="AE25:AF25"/>
    <mergeCell ref="AG25:AH25"/>
    <mergeCell ref="AI25:AJ25"/>
    <mergeCell ref="AK25:AL25"/>
    <mergeCell ref="AM25:AN25"/>
    <mergeCell ref="AO25:AP25"/>
    <mergeCell ref="AQ25:AR25"/>
    <mergeCell ref="AS25:AT25"/>
    <mergeCell ref="I26:K26"/>
    <mergeCell ref="M26:N26"/>
    <mergeCell ref="AA26:AB26"/>
    <mergeCell ref="AC26:AD26"/>
    <mergeCell ref="AE26:AF26"/>
    <mergeCell ref="AG26:AH26"/>
    <mergeCell ref="AI26:AJ26"/>
    <mergeCell ref="AK26:AL26"/>
    <mergeCell ref="AM26:AN26"/>
    <mergeCell ref="AO26:AP26"/>
    <mergeCell ref="AQ26:AR26"/>
    <mergeCell ref="AS26:AT26"/>
    <mergeCell ref="I27:K27"/>
    <mergeCell ref="M27:N27"/>
    <mergeCell ref="AA27:AB27"/>
    <mergeCell ref="AC27:AD27"/>
    <mergeCell ref="AE27:AF27"/>
    <mergeCell ref="AG27:AH27"/>
    <mergeCell ref="AI27:AJ27"/>
    <mergeCell ref="AK27:AL27"/>
    <mergeCell ref="AM27:AN27"/>
    <mergeCell ref="AO27:AP27"/>
    <mergeCell ref="AQ27:AR27"/>
    <mergeCell ref="AS27:AT27"/>
    <mergeCell ref="I28:K28"/>
    <mergeCell ref="M28:N28"/>
    <mergeCell ref="AA28:AB28"/>
    <mergeCell ref="AC28:AD28"/>
    <mergeCell ref="AE28:AF28"/>
    <mergeCell ref="AG28:AH28"/>
    <mergeCell ref="AI28:AJ28"/>
    <mergeCell ref="AK28:AL28"/>
    <mergeCell ref="AM28:AN28"/>
    <mergeCell ref="AO28:AP28"/>
    <mergeCell ref="AQ28:AR28"/>
    <mergeCell ref="AS28:AT28"/>
    <mergeCell ref="AA29:AB29"/>
    <mergeCell ref="AC29:AD29"/>
    <mergeCell ref="AE29:AF29"/>
    <mergeCell ref="AG29:AH29"/>
    <mergeCell ref="AI29:AJ29"/>
    <mergeCell ref="AK29:AL29"/>
    <mergeCell ref="AM29:AN29"/>
    <mergeCell ref="AO29:AP29"/>
    <mergeCell ref="AQ29:AR29"/>
    <mergeCell ref="AS29:AT29"/>
    <mergeCell ref="AA30:AB30"/>
    <mergeCell ref="AC30:AD30"/>
    <mergeCell ref="AE30:AF30"/>
    <mergeCell ref="AG30:AH30"/>
    <mergeCell ref="AI30:AJ30"/>
    <mergeCell ref="AK30:AL30"/>
    <mergeCell ref="AM30:AN30"/>
    <mergeCell ref="AO30:AP30"/>
    <mergeCell ref="AQ30:AR30"/>
    <mergeCell ref="AS30:AT30"/>
    <mergeCell ref="AA31:AB31"/>
    <mergeCell ref="AC31:AD31"/>
    <mergeCell ref="AE31:AF31"/>
    <mergeCell ref="AG31:AH31"/>
    <mergeCell ref="AI31:AJ31"/>
    <mergeCell ref="AK31:AL31"/>
    <mergeCell ref="AM31:AN31"/>
    <mergeCell ref="AO31:AP31"/>
    <mergeCell ref="AQ31:AR31"/>
    <mergeCell ref="AS31:AT31"/>
    <mergeCell ref="I32:K32"/>
    <mergeCell ref="L32:O32"/>
    <mergeCell ref="AA32:AB32"/>
    <mergeCell ref="AC32:AD32"/>
    <mergeCell ref="AE32:AF32"/>
    <mergeCell ref="AG32:AH32"/>
    <mergeCell ref="AI32:AJ32"/>
    <mergeCell ref="AK32:AL32"/>
    <mergeCell ref="AM32:AN32"/>
    <mergeCell ref="AO32:AP32"/>
    <mergeCell ref="AQ32:AR32"/>
    <mergeCell ref="AS32:AT32"/>
    <mergeCell ref="I33:K33"/>
    <mergeCell ref="L33:O33"/>
    <mergeCell ref="AA33:AB33"/>
    <mergeCell ref="AC33:AD33"/>
    <mergeCell ref="AE33:AF33"/>
    <mergeCell ref="AG33:AH33"/>
    <mergeCell ref="AI33:AJ33"/>
    <mergeCell ref="AK33:AL33"/>
    <mergeCell ref="AM33:AN33"/>
    <mergeCell ref="AO33:AP33"/>
    <mergeCell ref="AQ33:AR33"/>
    <mergeCell ref="AS33:AT33"/>
    <mergeCell ref="I34:K34"/>
    <mergeCell ref="AA34:AB34"/>
    <mergeCell ref="AC34:AD34"/>
    <mergeCell ref="AE34:AF34"/>
    <mergeCell ref="AG34:AH34"/>
    <mergeCell ref="AI34:AJ34"/>
    <mergeCell ref="AK34:AL34"/>
    <mergeCell ref="AM34:AN34"/>
    <mergeCell ref="AO34:AP34"/>
    <mergeCell ref="AQ34:AR34"/>
    <mergeCell ref="AS34:AT34"/>
    <mergeCell ref="I35:K35"/>
    <mergeCell ref="AA35:AB35"/>
    <mergeCell ref="AC35:AD35"/>
    <mergeCell ref="AE35:AF35"/>
    <mergeCell ref="AG35:AH35"/>
    <mergeCell ref="AI35:AJ35"/>
    <mergeCell ref="AK35:AL35"/>
    <mergeCell ref="AM35:AN35"/>
    <mergeCell ref="AO35:AP35"/>
    <mergeCell ref="AQ35:AR35"/>
    <mergeCell ref="AS35:AT35"/>
    <mergeCell ref="I36:K36"/>
    <mergeCell ref="AA36:AB36"/>
    <mergeCell ref="AC36:AD36"/>
    <mergeCell ref="AE36:AF36"/>
    <mergeCell ref="AG36:AH36"/>
    <mergeCell ref="AI36:AJ36"/>
    <mergeCell ref="AK36:AL36"/>
    <mergeCell ref="AM36:AN36"/>
    <mergeCell ref="AO36:AP36"/>
    <mergeCell ref="AQ36:AR36"/>
    <mergeCell ref="AS36:AT36"/>
    <mergeCell ref="I37:K37"/>
    <mergeCell ref="I38:K38"/>
    <mergeCell ref="I39:K39"/>
    <mergeCell ref="I40:K40"/>
    <mergeCell ref="L40:O40"/>
    <mergeCell ref="I41:K41"/>
    <mergeCell ref="L41:O41"/>
    <mergeCell ref="I42:K42"/>
    <mergeCell ref="L42:O42"/>
    <mergeCell ref="F43:H43"/>
    <mergeCell ref="I43:K43"/>
    <mergeCell ref="L43:O43"/>
    <mergeCell ref="I47:K47"/>
    <mergeCell ref="S47:U47"/>
    <mergeCell ref="I48:K48"/>
    <mergeCell ref="I49:K49"/>
    <mergeCell ref="I50:K50"/>
    <mergeCell ref="I51:K51"/>
    <mergeCell ref="I52:K52"/>
    <mergeCell ref="I53:K53"/>
    <mergeCell ref="I54:K54"/>
    <mergeCell ref="I55:K55"/>
    <mergeCell ref="I56:K56"/>
    <mergeCell ref="I57:K57"/>
    <mergeCell ref="M58:P58"/>
    <mergeCell ref="M62:N62"/>
    <mergeCell ref="S62:U62"/>
    <mergeCell ref="AB63:AC63"/>
    <mergeCell ref="AD63:AE63"/>
    <mergeCell ref="Y65:AA65"/>
    <mergeCell ref="Y66:AA66"/>
    <mergeCell ref="Y67:AA67"/>
    <mergeCell ref="M68:P68"/>
    <mergeCell ref="M71:N71"/>
    <mergeCell ref="S71:U71"/>
    <mergeCell ref="M82:P82"/>
    <mergeCell ref="G85:J85"/>
    <mergeCell ref="L85:M85"/>
    <mergeCell ref="P85:Q85"/>
    <mergeCell ref="G86:J86"/>
    <mergeCell ref="L86:M86"/>
    <mergeCell ref="P86:Q86"/>
    <mergeCell ref="G87:J87"/>
    <mergeCell ref="L87:M87"/>
    <mergeCell ref="P87:Q87"/>
    <mergeCell ref="G88:J88"/>
    <mergeCell ref="L88:M88"/>
    <mergeCell ref="O88:Q88"/>
    <mergeCell ref="G89:J89"/>
    <mergeCell ref="L89:M89"/>
    <mergeCell ref="G91:H91"/>
    <mergeCell ref="W3:W6"/>
    <mergeCell ref="X3:X6"/>
    <mergeCell ref="Y3:Y6"/>
    <mergeCell ref="Z4:Z6"/>
    <mergeCell ref="Y63:AA64"/>
    <mergeCell ref="L4:L14"/>
    <mergeCell ref="O4:O14"/>
    <mergeCell ref="R5:T14"/>
    <mergeCell ref="L18:L28"/>
    <mergeCell ref="O18:O28"/>
    <mergeCell ref="R19:T28"/>
    <mergeCell ref="L48:L57"/>
    <mergeCell ref="M48:M57"/>
    <mergeCell ref="O48:O57"/>
    <mergeCell ref="Q48:Q57"/>
  </mergeCells>
  <phoneticPr fontId="9"/>
  <conditionalFormatting sqref="P19:P28">
    <cfRule type="cellIs" dxfId="0" priority="1" stopIfTrue="1" operator="lessThan">
      <formula>100000</formula>
    </cfRule>
  </conditionalFormatting>
  <pageMargins left="0.78740157480314965" right="0.32" top="0.32" bottom="0.24" header="0.2" footer="0.2"/>
  <pageSetup paperSize="9" scale="50" fitToWidth="1" fitToHeight="0" orientation="portrait" usePrinterDefaults="1" r:id="rId1"/>
  <headerFooter alignWithMargins="0">
    <oddHeader>&amp;L資料４</oddHeader>
  </headerFooter>
  <colBreaks count="2" manualBreakCount="2">
    <brk id="22" min="1" max="80" man="1"/>
    <brk id="34" min="1" max="80" man="1"/>
  </colBreaks>
  <drawing r:id="rId2"/>
  <legacyDrawing r:id="rId3"/>
  <oleObjects>
    <mc:AlternateContent>
      <mc:Choice xmlns:x14="http://schemas.microsoft.com/office/spreadsheetml/2009/9/main" Requires="x14">
        <oleObject progId="Excel.Sheet.8" shapeId="1025" r:id="rId4">
          <objectPr defaultSize="0" r:id="rId5">
            <anchor moveWithCells="1" sizeWithCells="1">
              <from xmlns:xdr="http://schemas.openxmlformats.org/drawingml/2006/spreadsheetDrawing">
                <xdr:col>6</xdr:col>
                <xdr:colOff>57150</xdr:colOff>
                <xdr:row>84</xdr:row>
                <xdr:rowOff>0</xdr:rowOff>
              </from>
              <to xmlns:xdr="http://schemas.openxmlformats.org/drawingml/2006/spreadsheetDrawing">
                <xdr:col>13</xdr:col>
                <xdr:colOff>163830</xdr:colOff>
                <xdr:row>88</xdr:row>
                <xdr:rowOff>170180</xdr:rowOff>
              </to>
            </anchor>
          </objectPr>
        </oleObject>
      </mc:Choice>
      <mc:Fallback>
        <oleObject progId="Excel.Sheet.8" shapeId="1025"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X35"/>
  <sheetViews>
    <sheetView view="pageBreakPreview" zoomScale="60" workbookViewId="0">
      <selection activeCell="L40" sqref="L40:L41"/>
    </sheetView>
  </sheetViews>
  <sheetFormatPr defaultRowHeight="14.25"/>
  <cols>
    <col min="1" max="1" width="9" style="375" customWidth="1"/>
    <col min="2" max="2" width="17.625" style="375" customWidth="1"/>
    <col min="3" max="3" width="14" style="487" customWidth="1"/>
    <col min="4" max="4" width="12.125" style="487" hidden="1" customWidth="1"/>
    <col min="5" max="5" width="17" style="375" customWidth="1"/>
    <col min="6" max="6" width="15.5" style="375" customWidth="1"/>
    <col min="7" max="7" width="17" style="375" customWidth="1"/>
    <col min="8" max="8" width="15.5" style="375" customWidth="1"/>
    <col min="9" max="9" width="17" style="375" customWidth="1"/>
    <col min="10" max="10" width="15.5" style="375" customWidth="1"/>
    <col min="11" max="11" width="17" style="375" customWidth="1"/>
    <col min="12" max="12" width="15.5" style="375" customWidth="1"/>
    <col min="13" max="13" width="17" style="375" customWidth="1"/>
    <col min="14" max="14" width="15.5" style="375" customWidth="1"/>
    <col min="15" max="15" width="17" style="375" customWidth="1"/>
    <col min="16" max="16" width="15.5" style="375" customWidth="1"/>
    <col min="17" max="17" width="17" style="375" customWidth="1"/>
    <col min="18" max="18" width="15.5" style="375" customWidth="1"/>
    <col min="19" max="19" width="17" style="375" customWidth="1"/>
    <col min="20" max="20" width="15.5" style="375" customWidth="1"/>
    <col min="21" max="21" width="17" style="375" customWidth="1"/>
    <col min="22" max="22" width="15.5" style="375" customWidth="1"/>
    <col min="23" max="23" width="17" style="375" customWidth="1"/>
    <col min="24" max="24" width="15.5" style="375" customWidth="1"/>
  </cols>
  <sheetData>
    <row r="1" spans="1:24" ht="51" customHeight="1">
      <c r="A1" s="686" t="s">
        <v>114</v>
      </c>
      <c r="D1" s="705"/>
      <c r="F1" s="725"/>
      <c r="H1" s="725"/>
    </row>
    <row r="2" spans="1:24" ht="21" customHeight="1">
      <c r="A2" s="687" t="str">
        <f>'資料4.減価償却内訳'!W3</f>
        <v>番号</v>
      </c>
      <c r="B2" s="691" t="str">
        <f>'資料4.減価償却内訳'!X3</f>
        <v>参加者氏名</v>
      </c>
      <c r="C2" s="695" t="str">
        <f>'資料4.減価償却内訳'!Y3</f>
        <v>当年における
個人の減価償却費合計</v>
      </c>
      <c r="D2" s="706"/>
      <c r="E2" s="716" t="str">
        <f>'資料4.減価償却内訳'!AA3</f>
        <v>当年・過年</v>
      </c>
      <c r="F2" s="480" t="str">
        <f>'資料4.減価償却内訳'!AB3</f>
        <v>当年</v>
      </c>
      <c r="G2" s="716" t="str">
        <f>'資料4.減価償却内訳'!AC3</f>
        <v>当年・過年</v>
      </c>
      <c r="H2" s="480" t="str">
        <f>'資料4.減価償却内訳'!AD3</f>
        <v>当年</v>
      </c>
      <c r="I2" s="716" t="str">
        <f>'資料4.減価償却内訳'!AE3</f>
        <v>当年・過年</v>
      </c>
      <c r="J2" s="479" t="str">
        <f>'資料4.減価償却内訳'!AF3</f>
        <v>当年</v>
      </c>
      <c r="K2" s="716" t="str">
        <f>'資料4.減価償却内訳'!AG3</f>
        <v>当年・過年</v>
      </c>
      <c r="L2" s="479" t="str">
        <f>'資料4.減価償却内訳'!AH3</f>
        <v>当年</v>
      </c>
      <c r="M2" s="716" t="str">
        <f>'資料4.減価償却内訳'!AI3</f>
        <v>当年・過年</v>
      </c>
      <c r="N2" s="479" t="str">
        <f>'資料4.減価償却内訳'!AJ3</f>
        <v>当年</v>
      </c>
      <c r="O2" s="716" t="str">
        <f>'資料4.減価償却内訳'!AK3</f>
        <v>当年・過年</v>
      </c>
      <c r="P2" s="479" t="str">
        <f>'資料4.減価償却内訳'!AL3</f>
        <v>当年</v>
      </c>
      <c r="Q2" s="716" t="str">
        <f>'資料4.減価償却内訳'!AM3</f>
        <v>当年・過年</v>
      </c>
      <c r="R2" s="479" t="str">
        <f>'資料4.減価償却内訳'!AN3</f>
        <v>当年</v>
      </c>
      <c r="S2" s="716" t="str">
        <f>'資料4.減価償却内訳'!AO3</f>
        <v>当年・過年</v>
      </c>
      <c r="T2" s="479" t="str">
        <f>'資料4.減価償却内訳'!AP3</f>
        <v>当年</v>
      </c>
      <c r="U2" s="716" t="str">
        <f>'資料4.減価償却内訳'!AQ3</f>
        <v>当年・過年</v>
      </c>
      <c r="V2" s="479" t="str">
        <f>'資料4.減価償却内訳'!AR3</f>
        <v>当年</v>
      </c>
      <c r="W2" s="716" t="str">
        <f>'資料4.減価償却内訳'!AS3</f>
        <v>当年・過年</v>
      </c>
      <c r="X2" s="479" t="str">
        <f>'資料4.減価償却内訳'!AT3</f>
        <v>当年</v>
      </c>
    </row>
    <row r="3" spans="1:24" ht="21" customHeight="1">
      <c r="A3" s="688"/>
      <c r="B3" s="692"/>
      <c r="C3" s="696"/>
      <c r="D3" s="707" t="e">
        <f>'資料4.減価償却内訳'!Z4:Z6</f>
        <v>#VALUE!</v>
      </c>
      <c r="E3" s="717" t="str">
        <f>'資料4.減価償却内訳'!AA4</f>
        <v>資産の名称</v>
      </c>
      <c r="F3" s="694" t="str">
        <f>'資料4.減価償却内訳'!AB4</f>
        <v>トラクタA</v>
      </c>
      <c r="G3" s="717" t="str">
        <f>'資料4.減価償却内訳'!AC4</f>
        <v>資産の名称</v>
      </c>
      <c r="H3" s="694" t="str">
        <f>'資料4.減価償却内訳'!AD4</f>
        <v>コンバイン</v>
      </c>
      <c r="I3" s="717" t="str">
        <f>'資料4.減価償却内訳'!AE4</f>
        <v>資産の名称</v>
      </c>
      <c r="J3" s="694" t="str">
        <f>'資料4.減価償却内訳'!AF4</f>
        <v>トラクタB</v>
      </c>
      <c r="K3" s="717" t="str">
        <f>'資料4.減価償却内訳'!AG4</f>
        <v>資産の名称</v>
      </c>
      <c r="L3" s="694" t="str">
        <f>'資料4.減価償却内訳'!AH4</f>
        <v>田植機</v>
      </c>
      <c r="M3" s="717" t="str">
        <f>'資料4.減価償却内訳'!AI4</f>
        <v>資産の名称</v>
      </c>
      <c r="N3" s="694" t="str">
        <f>'資料4.減価償却内訳'!AJ4</f>
        <v/>
      </c>
      <c r="O3" s="717" t="str">
        <f>'資料4.減価償却内訳'!AK4</f>
        <v>資産の名称</v>
      </c>
      <c r="P3" s="694" t="str">
        <f>'資料4.減価償却内訳'!AL4</f>
        <v/>
      </c>
      <c r="Q3" s="717" t="str">
        <f>'資料4.減価償却内訳'!AM4</f>
        <v>資産の名称</v>
      </c>
      <c r="R3" s="694" t="str">
        <f>'資料4.減価償却内訳'!AN4</f>
        <v/>
      </c>
      <c r="S3" s="717" t="str">
        <f>'資料4.減価償却内訳'!AO4</f>
        <v>資産の名称</v>
      </c>
      <c r="T3" s="694" t="str">
        <f>'資料4.減価償却内訳'!AP4</f>
        <v/>
      </c>
      <c r="U3" s="717" t="str">
        <f>'資料4.減価償却内訳'!AQ4</f>
        <v>資産の名称</v>
      </c>
      <c r="V3" s="694" t="str">
        <f>'資料4.減価償却内訳'!AR4</f>
        <v/>
      </c>
      <c r="W3" s="717" t="str">
        <f>'資料4.減価償却内訳'!AS4</f>
        <v>資産の名称</v>
      </c>
      <c r="X3" s="694" t="str">
        <f>'資料4.減価償却内訳'!AT4</f>
        <v/>
      </c>
    </row>
    <row r="4" spans="1:24" ht="21" customHeight="1">
      <c r="A4" s="688"/>
      <c r="B4" s="692"/>
      <c r="C4" s="696"/>
      <c r="D4" s="708"/>
      <c r="E4" s="718" t="str">
        <f>'資料4.減価償却内訳'!AA5</f>
        <v>減価償却費（当年分）</v>
      </c>
      <c r="F4" s="711">
        <f>'資料4.減価償却内訳'!AB5</f>
        <v>393252</v>
      </c>
      <c r="G4" s="718" t="str">
        <f>'資料4.減価償却内訳'!AC5</f>
        <v>減価償却費（当年分）</v>
      </c>
      <c r="H4" s="711">
        <f>'資料4.減価償却内訳'!AD5</f>
        <v>148956</v>
      </c>
      <c r="I4" s="718" t="str">
        <f>'資料4.減価償却内訳'!AE5</f>
        <v>減価償却費（当年分）</v>
      </c>
      <c r="J4" s="711">
        <f>'資料4.減価償却内訳'!AF5</f>
        <v>600000</v>
      </c>
      <c r="K4" s="718" t="str">
        <f>'資料4.減価償却内訳'!AG5</f>
        <v>減価償却費（当年分）</v>
      </c>
      <c r="L4" s="711">
        <f>'資料4.減価償却内訳'!AH5</f>
        <v>499992</v>
      </c>
      <c r="M4" s="718" t="str">
        <f>'資料4.減価償却内訳'!AI5</f>
        <v>減価償却費（当年分）</v>
      </c>
      <c r="N4" s="711">
        <f>'資料4.減価償却内訳'!AJ5</f>
        <v>772200</v>
      </c>
      <c r="O4" s="718" t="str">
        <f>'資料4.減価償却内訳'!AK5</f>
        <v>減価償却費（当年分）</v>
      </c>
      <c r="P4" s="711">
        <f>'資料4.減価償却内訳'!AL5</f>
        <v>0</v>
      </c>
      <c r="Q4" s="718" t="str">
        <f>'資料4.減価償却内訳'!AM5</f>
        <v>減価償却費（当年分）</v>
      </c>
      <c r="R4" s="711">
        <f>'資料4.減価償却内訳'!AN5</f>
        <v>0</v>
      </c>
      <c r="S4" s="718" t="str">
        <f>'資料4.減価償却内訳'!AO5</f>
        <v>減価償却費（当年分）</v>
      </c>
      <c r="T4" s="711">
        <f>'資料4.減価償却内訳'!AP5</f>
        <v>0</v>
      </c>
      <c r="U4" s="718" t="str">
        <f>'資料4.減価償却内訳'!AQ5</f>
        <v>減価償却費（当年分）</v>
      </c>
      <c r="V4" s="711">
        <f>'資料4.減価償却内訳'!AR5</f>
        <v>0</v>
      </c>
      <c r="W4" s="718" t="str">
        <f>'資料4.減価償却内訳'!AS5</f>
        <v>減価償却費（当年分）</v>
      </c>
      <c r="X4" s="711">
        <f>'資料4.減価償却内訳'!AT5</f>
        <v>0</v>
      </c>
    </row>
    <row r="5" spans="1:24" ht="21" customHeight="1">
      <c r="A5" s="689"/>
      <c r="B5" s="693"/>
      <c r="C5" s="697"/>
      <c r="D5" s="709"/>
      <c r="E5" s="474" t="str">
        <f>'資料4.減価償却内訳'!AA6</f>
        <v>個人内訳</v>
      </c>
      <c r="F5" s="482"/>
      <c r="G5" s="733" t="str">
        <f>'資料4.減価償却内訳'!AC6</f>
        <v>個人内訳</v>
      </c>
      <c r="H5" s="738"/>
      <c r="I5" s="733" t="str">
        <f>'資料4.減価償却内訳'!AE6</f>
        <v>個人内訳</v>
      </c>
      <c r="J5" s="738"/>
      <c r="K5" s="733" t="str">
        <f>'資料4.減価償却内訳'!AG6</f>
        <v>個人内訳</v>
      </c>
      <c r="L5" s="738"/>
      <c r="M5" s="733" t="str">
        <f>'資料4.減価償却内訳'!AI6</f>
        <v>個人内訳</v>
      </c>
      <c r="N5" s="738"/>
      <c r="O5" s="733" t="str">
        <f>'資料4.減価償却内訳'!AK6</f>
        <v>個人内訳</v>
      </c>
      <c r="P5" s="738"/>
      <c r="Q5" s="733" t="str">
        <f>'資料4.減価償却内訳'!AM6</f>
        <v>個人内訳</v>
      </c>
      <c r="R5" s="738"/>
      <c r="S5" s="733" t="str">
        <f>'資料4.減価償却内訳'!AO6</f>
        <v>個人内訳</v>
      </c>
      <c r="T5" s="738"/>
      <c r="U5" s="733" t="str">
        <f>'資料4.減価償却内訳'!AQ6</f>
        <v>個人内訳</v>
      </c>
      <c r="V5" s="738"/>
      <c r="W5" s="733" t="str">
        <f>'資料4.減価償却内訳'!AS6</f>
        <v>個人内訳</v>
      </c>
      <c r="X5" s="738"/>
    </row>
    <row r="6" spans="1:24" ht="21" customHeight="1">
      <c r="A6" s="690">
        <f>'資料4.減価償却内訳'!W7</f>
        <v>1</v>
      </c>
      <c r="B6" s="480" t="str">
        <f>'資料4.減価償却内訳'!X7</f>
        <v>口羽太郎</v>
      </c>
      <c r="C6" s="698">
        <f>'資料4.減価償却内訳'!Y7</f>
        <v>201200</v>
      </c>
      <c r="D6" s="710">
        <f>'資料4.減価償却内訳'!Z7</f>
        <v>201200</v>
      </c>
      <c r="E6" s="719">
        <v>32771</v>
      </c>
      <c r="F6" s="726"/>
      <c r="G6" s="719">
        <v>12413</v>
      </c>
      <c r="H6" s="726"/>
      <c r="I6" s="719">
        <v>50000</v>
      </c>
      <c r="J6" s="726"/>
      <c r="K6" s="719">
        <v>41666</v>
      </c>
      <c r="L6" s="726"/>
      <c r="M6" s="719">
        <v>64350</v>
      </c>
      <c r="N6" s="726"/>
      <c r="O6" s="719"/>
      <c r="P6" s="726"/>
      <c r="Q6" s="719"/>
      <c r="R6" s="726"/>
      <c r="S6" s="719"/>
      <c r="T6" s="726"/>
      <c r="U6" s="719"/>
      <c r="V6" s="726"/>
      <c r="W6" s="719"/>
      <c r="X6" s="726"/>
    </row>
    <row r="7" spans="1:24" ht="21" customHeight="1">
      <c r="A7" s="457">
        <f>'資料4.減価償却内訳'!W8</f>
        <v>2</v>
      </c>
      <c r="B7" s="740" t="str">
        <f>'資料4.減価償却内訳'!X8</f>
        <v>阿須那花子</v>
      </c>
      <c r="C7" s="699">
        <f>'資料4.減価償却内訳'!Y8</f>
        <v>201200</v>
      </c>
      <c r="D7" s="711">
        <f>'資料4.減価償却内訳'!Z8</f>
        <v>201200</v>
      </c>
      <c r="E7" s="720">
        <v>32771</v>
      </c>
      <c r="F7" s="727"/>
      <c r="G7" s="720">
        <v>12413</v>
      </c>
      <c r="H7" s="727"/>
      <c r="I7" s="720">
        <v>50000</v>
      </c>
      <c r="J7" s="727"/>
      <c r="K7" s="720">
        <v>41666</v>
      </c>
      <c r="L7" s="727"/>
      <c r="M7" s="720">
        <v>64350</v>
      </c>
      <c r="N7" s="727"/>
      <c r="O7" s="720"/>
      <c r="P7" s="727"/>
      <c r="Q7" s="720"/>
      <c r="R7" s="727"/>
      <c r="S7" s="720"/>
      <c r="T7" s="727"/>
      <c r="U7" s="720"/>
      <c r="V7" s="727"/>
      <c r="W7" s="720"/>
      <c r="X7" s="727"/>
    </row>
    <row r="8" spans="1:24" ht="21" customHeight="1">
      <c r="A8" s="457">
        <f>'資料4.減価償却内訳'!W9</f>
        <v>3</v>
      </c>
      <c r="B8" s="740" t="str">
        <f>'資料4.減価償却内訳'!X9</f>
        <v>布施一郎</v>
      </c>
      <c r="C8" s="699">
        <f>'資料4.減価償却内訳'!Y9</f>
        <v>201200</v>
      </c>
      <c r="D8" s="711">
        <f>'資料4.減価償却内訳'!Z9</f>
        <v>201200</v>
      </c>
      <c r="E8" s="720">
        <v>32771</v>
      </c>
      <c r="F8" s="727"/>
      <c r="G8" s="720">
        <v>12413</v>
      </c>
      <c r="H8" s="727"/>
      <c r="I8" s="720">
        <v>50000</v>
      </c>
      <c r="J8" s="727"/>
      <c r="K8" s="720">
        <v>41666</v>
      </c>
      <c r="L8" s="727"/>
      <c r="M8" s="720">
        <v>64350</v>
      </c>
      <c r="N8" s="727"/>
      <c r="O8" s="720"/>
      <c r="P8" s="727"/>
      <c r="Q8" s="720"/>
      <c r="R8" s="727"/>
      <c r="S8" s="720"/>
      <c r="T8" s="727"/>
      <c r="U8" s="720"/>
      <c r="V8" s="727"/>
      <c r="W8" s="720"/>
      <c r="X8" s="727"/>
    </row>
    <row r="9" spans="1:24" ht="21" customHeight="1">
      <c r="A9" s="457">
        <f>'資料4.減価償却内訳'!W10</f>
        <v>4</v>
      </c>
      <c r="B9" s="740" t="str">
        <f>'資料4.減価償却内訳'!X10</f>
        <v>高原二郎</v>
      </c>
      <c r="C9" s="699">
        <f>'資料4.減価償却内訳'!Y10</f>
        <v>201200</v>
      </c>
      <c r="D9" s="711">
        <f>'資料4.減価償却内訳'!Z10</f>
        <v>201200</v>
      </c>
      <c r="E9" s="720">
        <v>32771</v>
      </c>
      <c r="F9" s="727"/>
      <c r="G9" s="720">
        <v>12413</v>
      </c>
      <c r="H9" s="727"/>
      <c r="I9" s="720">
        <v>50000</v>
      </c>
      <c r="J9" s="727"/>
      <c r="K9" s="720">
        <v>41666</v>
      </c>
      <c r="L9" s="727"/>
      <c r="M9" s="720">
        <v>64350</v>
      </c>
      <c r="N9" s="727"/>
      <c r="O9" s="720"/>
      <c r="P9" s="727"/>
      <c r="Q9" s="720"/>
      <c r="R9" s="727"/>
      <c r="S9" s="720"/>
      <c r="T9" s="727"/>
      <c r="U9" s="720"/>
      <c r="V9" s="727"/>
      <c r="W9" s="720"/>
      <c r="X9" s="727"/>
    </row>
    <row r="10" spans="1:24" ht="21" customHeight="1">
      <c r="A10" s="457">
        <f>'資料4.減価償却内訳'!W11</f>
        <v>5</v>
      </c>
      <c r="B10" s="740" t="str">
        <f>'資料4.減価償却内訳'!X11</f>
        <v>出羽三郎</v>
      </c>
      <c r="C10" s="699">
        <f>'資料4.減価償却内訳'!Y11</f>
        <v>201200</v>
      </c>
      <c r="D10" s="711">
        <f>'資料4.減価償却内訳'!Z11</f>
        <v>201200</v>
      </c>
      <c r="E10" s="720">
        <v>32771</v>
      </c>
      <c r="F10" s="727"/>
      <c r="G10" s="720">
        <v>12413</v>
      </c>
      <c r="H10" s="727"/>
      <c r="I10" s="720">
        <v>50000</v>
      </c>
      <c r="J10" s="727"/>
      <c r="K10" s="720">
        <v>41666</v>
      </c>
      <c r="L10" s="727"/>
      <c r="M10" s="720">
        <v>64350</v>
      </c>
      <c r="N10" s="727"/>
      <c r="O10" s="720"/>
      <c r="P10" s="727"/>
      <c r="Q10" s="720"/>
      <c r="R10" s="727"/>
      <c r="S10" s="720"/>
      <c r="T10" s="727"/>
      <c r="U10" s="720"/>
      <c r="V10" s="727"/>
      <c r="W10" s="720"/>
      <c r="X10" s="727"/>
    </row>
    <row r="11" spans="1:24" ht="21" customHeight="1">
      <c r="A11" s="457">
        <f>'資料4.減価償却内訳'!W12</f>
        <v>6</v>
      </c>
      <c r="B11" s="740" t="str">
        <f>'資料4.減価償却内訳'!X12</f>
        <v>田所四郎</v>
      </c>
      <c r="C11" s="699">
        <f>'資料4.減価償却内訳'!Y12</f>
        <v>201200</v>
      </c>
      <c r="D11" s="711">
        <f>'資料4.減価償却内訳'!Z12</f>
        <v>201200</v>
      </c>
      <c r="E11" s="720">
        <v>32771</v>
      </c>
      <c r="F11" s="727"/>
      <c r="G11" s="720">
        <v>12413</v>
      </c>
      <c r="H11" s="727"/>
      <c r="I11" s="720">
        <v>50000</v>
      </c>
      <c r="J11" s="727"/>
      <c r="K11" s="720">
        <v>41666</v>
      </c>
      <c r="L11" s="727"/>
      <c r="M11" s="720">
        <v>64350</v>
      </c>
      <c r="N11" s="727"/>
      <c r="O11" s="720"/>
      <c r="P11" s="727"/>
      <c r="Q11" s="720"/>
      <c r="R11" s="727"/>
      <c r="S11" s="720"/>
      <c r="T11" s="727"/>
      <c r="U11" s="720"/>
      <c r="V11" s="727"/>
      <c r="W11" s="720"/>
      <c r="X11" s="727"/>
    </row>
    <row r="12" spans="1:24" ht="21" customHeight="1">
      <c r="A12" s="457">
        <f>'資料4.減価償却内訳'!W13</f>
        <v>7</v>
      </c>
      <c r="B12" s="740" t="str">
        <f>'資料4.減価償却内訳'!X13</f>
        <v>市木五郎</v>
      </c>
      <c r="C12" s="699">
        <f>'資料4.減価償却内訳'!Y13</f>
        <v>201200</v>
      </c>
      <c r="D12" s="711">
        <f>'資料4.減価償却内訳'!Z13</f>
        <v>201200</v>
      </c>
      <c r="E12" s="720">
        <v>32771</v>
      </c>
      <c r="F12" s="727"/>
      <c r="G12" s="720">
        <v>12413</v>
      </c>
      <c r="H12" s="727"/>
      <c r="I12" s="720">
        <v>50000</v>
      </c>
      <c r="J12" s="727"/>
      <c r="K12" s="720">
        <v>41666</v>
      </c>
      <c r="L12" s="727"/>
      <c r="M12" s="720">
        <v>64350</v>
      </c>
      <c r="N12" s="727"/>
      <c r="O12" s="720"/>
      <c r="P12" s="727"/>
      <c r="Q12" s="720"/>
      <c r="R12" s="727"/>
      <c r="S12" s="720"/>
      <c r="T12" s="727"/>
      <c r="U12" s="720"/>
      <c r="V12" s="727"/>
      <c r="W12" s="720"/>
      <c r="X12" s="727"/>
    </row>
    <row r="13" spans="1:24" ht="21" customHeight="1">
      <c r="A13" s="457">
        <f>'資料4.減価償却内訳'!W14</f>
        <v>8</v>
      </c>
      <c r="B13" s="740" t="str">
        <f>'資料4.減価償却内訳'!X14</f>
        <v>井原六郎</v>
      </c>
      <c r="C13" s="699">
        <f>'資料4.減価償却内訳'!Y14</f>
        <v>201200</v>
      </c>
      <c r="D13" s="711">
        <f>'資料4.減価償却内訳'!Z14</f>
        <v>201200</v>
      </c>
      <c r="E13" s="720">
        <v>32771</v>
      </c>
      <c r="F13" s="727"/>
      <c r="G13" s="720">
        <v>12413</v>
      </c>
      <c r="H13" s="727"/>
      <c r="I13" s="720">
        <v>50000</v>
      </c>
      <c r="J13" s="727"/>
      <c r="K13" s="720">
        <v>41666</v>
      </c>
      <c r="L13" s="727"/>
      <c r="M13" s="720">
        <v>64350</v>
      </c>
      <c r="N13" s="727"/>
      <c r="O13" s="720"/>
      <c r="P13" s="727"/>
      <c r="Q13" s="720"/>
      <c r="R13" s="727"/>
      <c r="S13" s="720"/>
      <c r="T13" s="727"/>
      <c r="U13" s="720"/>
      <c r="V13" s="727"/>
      <c r="W13" s="720"/>
      <c r="X13" s="727"/>
    </row>
    <row r="14" spans="1:24" ht="21" customHeight="1">
      <c r="A14" s="457">
        <f>'資料4.減価償却内訳'!W15</f>
        <v>9</v>
      </c>
      <c r="B14" s="740" t="str">
        <f>'資料4.減価償却内訳'!X15</f>
        <v>中野七郎</v>
      </c>
      <c r="C14" s="699">
        <f>'資料4.減価償却内訳'!Y15</f>
        <v>201200</v>
      </c>
      <c r="D14" s="711">
        <f>'資料4.減価償却内訳'!Z15</f>
        <v>201200</v>
      </c>
      <c r="E14" s="720">
        <v>32771</v>
      </c>
      <c r="F14" s="727"/>
      <c r="G14" s="720">
        <v>12413</v>
      </c>
      <c r="H14" s="727"/>
      <c r="I14" s="720">
        <v>50000</v>
      </c>
      <c r="J14" s="727"/>
      <c r="K14" s="720">
        <v>41666</v>
      </c>
      <c r="L14" s="727"/>
      <c r="M14" s="720">
        <v>64350</v>
      </c>
      <c r="N14" s="727"/>
      <c r="O14" s="720"/>
      <c r="P14" s="727"/>
      <c r="Q14" s="720"/>
      <c r="R14" s="727"/>
      <c r="S14" s="720"/>
      <c r="T14" s="727"/>
      <c r="U14" s="720"/>
      <c r="V14" s="727"/>
      <c r="W14" s="720"/>
      <c r="X14" s="727"/>
    </row>
    <row r="15" spans="1:24" ht="21" customHeight="1">
      <c r="A15" s="457">
        <f>'資料4.減価償却内訳'!W16</f>
        <v>10</v>
      </c>
      <c r="B15" s="740" t="str">
        <f>'資料4.減価償却内訳'!X16</f>
        <v>矢上八郎</v>
      </c>
      <c r="C15" s="699">
        <f>'資料4.減価償却内訳'!Y16</f>
        <v>201200</v>
      </c>
      <c r="D15" s="711">
        <f>'資料4.減価償却内訳'!Z16</f>
        <v>201200</v>
      </c>
      <c r="E15" s="720">
        <v>32771</v>
      </c>
      <c r="F15" s="727"/>
      <c r="G15" s="720">
        <v>12413</v>
      </c>
      <c r="H15" s="727"/>
      <c r="I15" s="720">
        <v>50000</v>
      </c>
      <c r="J15" s="727"/>
      <c r="K15" s="720">
        <v>41666</v>
      </c>
      <c r="L15" s="727"/>
      <c r="M15" s="720">
        <v>64350</v>
      </c>
      <c r="N15" s="727"/>
      <c r="O15" s="720"/>
      <c r="P15" s="727"/>
      <c r="Q15" s="720"/>
      <c r="R15" s="727"/>
      <c r="S15" s="720"/>
      <c r="T15" s="727"/>
      <c r="U15" s="720"/>
      <c r="V15" s="727"/>
      <c r="W15" s="720"/>
      <c r="X15" s="727"/>
    </row>
    <row r="16" spans="1:24" ht="21" customHeight="1">
      <c r="A16" s="457">
        <f>'資料4.減価償却内訳'!W17</f>
        <v>11</v>
      </c>
      <c r="B16" s="740" t="str">
        <f>'資料4.減価償却内訳'!X17</f>
        <v>日和九郎</v>
      </c>
      <c r="C16" s="699">
        <f>'資料4.減価償却内訳'!Y17</f>
        <v>201200</v>
      </c>
      <c r="D16" s="711">
        <f>'資料4.減価償却内訳'!Z17</f>
        <v>201200</v>
      </c>
      <c r="E16" s="720">
        <v>32771</v>
      </c>
      <c r="F16" s="727"/>
      <c r="G16" s="720">
        <v>12413</v>
      </c>
      <c r="H16" s="727"/>
      <c r="I16" s="720">
        <v>50000</v>
      </c>
      <c r="J16" s="727"/>
      <c r="K16" s="720">
        <v>41666</v>
      </c>
      <c r="L16" s="727"/>
      <c r="M16" s="720">
        <v>64350</v>
      </c>
      <c r="N16" s="727"/>
      <c r="O16" s="720"/>
      <c r="P16" s="727"/>
      <c r="Q16" s="720"/>
      <c r="R16" s="727"/>
      <c r="S16" s="720"/>
      <c r="T16" s="727"/>
      <c r="U16" s="720"/>
      <c r="V16" s="727"/>
      <c r="W16" s="720"/>
      <c r="X16" s="727"/>
    </row>
    <row r="17" spans="1:24" ht="21" customHeight="1">
      <c r="A17" s="457">
        <f>'資料4.減価償却内訳'!W18</f>
        <v>12</v>
      </c>
      <c r="B17" s="740" t="str">
        <f>'資料4.減価償却内訳'!X18</f>
        <v>日貫十兵衛</v>
      </c>
      <c r="C17" s="699">
        <f>'資料4.減価償却内訳'!Y18</f>
        <v>201200</v>
      </c>
      <c r="D17" s="711">
        <f>'資料4.減価償却内訳'!Z18</f>
        <v>201200</v>
      </c>
      <c r="E17" s="720">
        <v>32771</v>
      </c>
      <c r="F17" s="727"/>
      <c r="G17" s="720">
        <v>12413</v>
      </c>
      <c r="H17" s="727"/>
      <c r="I17" s="720">
        <v>50000</v>
      </c>
      <c r="J17" s="727"/>
      <c r="K17" s="720">
        <v>41666</v>
      </c>
      <c r="L17" s="727"/>
      <c r="M17" s="720">
        <v>64350</v>
      </c>
      <c r="N17" s="727"/>
      <c r="O17" s="720"/>
      <c r="P17" s="727"/>
      <c r="Q17" s="720"/>
      <c r="R17" s="727"/>
      <c r="S17" s="720"/>
      <c r="T17" s="727"/>
      <c r="U17" s="720"/>
      <c r="V17" s="727"/>
      <c r="W17" s="720"/>
      <c r="X17" s="727"/>
    </row>
    <row r="18" spans="1:24" ht="21" customHeight="1">
      <c r="A18" s="457">
        <f>'資料4.減価償却内訳'!W19</f>
        <v>13</v>
      </c>
      <c r="B18" s="741">
        <f>'資料4.減価償却内訳'!X19</f>
        <v>0</v>
      </c>
      <c r="C18" s="699">
        <f>'資料4.減価償却内訳'!Y19</f>
        <v>0</v>
      </c>
      <c r="D18" s="711">
        <f>'資料4.減価償却内訳'!Z19</f>
        <v>0</v>
      </c>
      <c r="E18" s="720"/>
      <c r="F18" s="727"/>
      <c r="G18" s="720"/>
      <c r="H18" s="727"/>
      <c r="I18" s="720"/>
      <c r="J18" s="727"/>
      <c r="K18" s="720"/>
      <c r="L18" s="727"/>
      <c r="M18" s="720"/>
      <c r="N18" s="727"/>
      <c r="O18" s="720"/>
      <c r="P18" s="727"/>
      <c r="Q18" s="720"/>
      <c r="R18" s="727"/>
      <c r="S18" s="720"/>
      <c r="T18" s="727"/>
      <c r="U18" s="720"/>
      <c r="V18" s="727"/>
      <c r="W18" s="720"/>
      <c r="X18" s="727"/>
    </row>
    <row r="19" spans="1:24" ht="21" customHeight="1">
      <c r="A19" s="457">
        <f>'資料4.減価償却内訳'!W20</f>
        <v>14</v>
      </c>
      <c r="B19" s="741">
        <f>'資料4.減価償却内訳'!X20</f>
        <v>0</v>
      </c>
      <c r="C19" s="699">
        <f>'資料4.減価償却内訳'!Y20</f>
        <v>0</v>
      </c>
      <c r="D19" s="711">
        <f>'資料4.減価償却内訳'!Z20</f>
        <v>0</v>
      </c>
      <c r="E19" s="720"/>
      <c r="F19" s="727"/>
      <c r="G19" s="720"/>
      <c r="H19" s="727"/>
      <c r="I19" s="720"/>
      <c r="J19" s="727"/>
      <c r="K19" s="720"/>
      <c r="L19" s="727"/>
      <c r="M19" s="720"/>
      <c r="N19" s="727"/>
      <c r="O19" s="720"/>
      <c r="P19" s="727"/>
      <c r="Q19" s="720"/>
      <c r="R19" s="727"/>
      <c r="S19" s="720"/>
      <c r="T19" s="727"/>
      <c r="U19" s="720"/>
      <c r="V19" s="727"/>
      <c r="W19" s="720"/>
      <c r="X19" s="727"/>
    </row>
    <row r="20" spans="1:24" ht="21" customHeight="1">
      <c r="A20" s="457">
        <f>'資料4.減価償却内訳'!W21</f>
        <v>15</v>
      </c>
      <c r="B20" s="741">
        <f>'資料4.減価償却内訳'!X21</f>
        <v>0</v>
      </c>
      <c r="C20" s="699">
        <f>'資料4.減価償却内訳'!Y21</f>
        <v>0</v>
      </c>
      <c r="D20" s="711">
        <f>'資料4.減価償却内訳'!Z21</f>
        <v>0</v>
      </c>
      <c r="E20" s="720"/>
      <c r="F20" s="727"/>
      <c r="G20" s="720"/>
      <c r="H20" s="727"/>
      <c r="I20" s="720"/>
      <c r="J20" s="727"/>
      <c r="K20" s="720"/>
      <c r="L20" s="727"/>
      <c r="M20" s="720"/>
      <c r="N20" s="727"/>
      <c r="O20" s="720"/>
      <c r="P20" s="727"/>
      <c r="Q20" s="720"/>
      <c r="R20" s="727"/>
      <c r="S20" s="720"/>
      <c r="T20" s="727"/>
      <c r="U20" s="720"/>
      <c r="V20" s="727"/>
      <c r="W20" s="720"/>
      <c r="X20" s="727"/>
    </row>
    <row r="21" spans="1:24" ht="21" customHeight="1">
      <c r="A21" s="457">
        <f>'資料4.減価償却内訳'!W22</f>
        <v>16</v>
      </c>
      <c r="B21" s="741">
        <f>'資料4.減価償却内訳'!X22</f>
        <v>0</v>
      </c>
      <c r="C21" s="699">
        <f>'資料4.減価償却内訳'!Y22</f>
        <v>0</v>
      </c>
      <c r="D21" s="711">
        <f>'資料4.減価償却内訳'!Z22</f>
        <v>0</v>
      </c>
      <c r="E21" s="720"/>
      <c r="F21" s="727"/>
      <c r="G21" s="720"/>
      <c r="H21" s="727"/>
      <c r="I21" s="720"/>
      <c r="J21" s="727"/>
      <c r="K21" s="720"/>
      <c r="L21" s="727"/>
      <c r="M21" s="720"/>
      <c r="N21" s="727"/>
      <c r="O21" s="720"/>
      <c r="P21" s="727"/>
      <c r="Q21" s="720"/>
      <c r="R21" s="727"/>
      <c r="S21" s="720"/>
      <c r="T21" s="727"/>
      <c r="U21" s="720"/>
      <c r="V21" s="727"/>
      <c r="W21" s="720"/>
      <c r="X21" s="727"/>
    </row>
    <row r="22" spans="1:24" ht="21" customHeight="1">
      <c r="A22" s="457">
        <f>'資料4.減価償却内訳'!W23</f>
        <v>17</v>
      </c>
      <c r="B22" s="741">
        <f>'資料4.減価償却内訳'!X23</f>
        <v>0</v>
      </c>
      <c r="C22" s="699">
        <f>'資料4.減価償却内訳'!Y23</f>
        <v>0</v>
      </c>
      <c r="D22" s="711">
        <f>'資料4.減価償却内訳'!Z23</f>
        <v>0</v>
      </c>
      <c r="E22" s="720"/>
      <c r="F22" s="727"/>
      <c r="G22" s="720"/>
      <c r="H22" s="727"/>
      <c r="I22" s="720"/>
      <c r="J22" s="727"/>
      <c r="K22" s="720"/>
      <c r="L22" s="727"/>
      <c r="M22" s="720"/>
      <c r="N22" s="727"/>
      <c r="O22" s="720"/>
      <c r="P22" s="727"/>
      <c r="Q22" s="720"/>
      <c r="R22" s="727"/>
      <c r="S22" s="720"/>
      <c r="T22" s="727"/>
      <c r="U22" s="720"/>
      <c r="V22" s="727"/>
      <c r="W22" s="720"/>
      <c r="X22" s="727"/>
    </row>
    <row r="23" spans="1:24" ht="21" customHeight="1">
      <c r="A23" s="457">
        <f>'資料4.減価償却内訳'!W24</f>
        <v>18</v>
      </c>
      <c r="B23" s="741">
        <f>'資料4.減価償却内訳'!X24</f>
        <v>0</v>
      </c>
      <c r="C23" s="699">
        <f>'資料4.減価償却内訳'!Y24</f>
        <v>0</v>
      </c>
      <c r="D23" s="711">
        <f>'資料4.減価償却内訳'!Z24</f>
        <v>0</v>
      </c>
      <c r="E23" s="720"/>
      <c r="F23" s="727"/>
      <c r="G23" s="720"/>
      <c r="H23" s="727"/>
      <c r="I23" s="720"/>
      <c r="J23" s="727"/>
      <c r="K23" s="720"/>
      <c r="L23" s="727"/>
      <c r="M23" s="720"/>
      <c r="N23" s="727"/>
      <c r="O23" s="720"/>
      <c r="P23" s="727"/>
      <c r="Q23" s="720"/>
      <c r="R23" s="727"/>
      <c r="S23" s="720"/>
      <c r="T23" s="727"/>
      <c r="U23" s="720"/>
      <c r="V23" s="727"/>
      <c r="W23" s="720"/>
      <c r="X23" s="727"/>
    </row>
    <row r="24" spans="1:24" ht="21" customHeight="1">
      <c r="A24" s="457">
        <f>'資料4.減価償却内訳'!W25</f>
        <v>19</v>
      </c>
      <c r="B24" s="741">
        <f>'資料4.減価償却内訳'!X25</f>
        <v>0</v>
      </c>
      <c r="C24" s="699">
        <f>'資料4.減価償却内訳'!Y25</f>
        <v>0</v>
      </c>
      <c r="D24" s="711">
        <f>'資料4.減価償却内訳'!Z25</f>
        <v>0</v>
      </c>
      <c r="E24" s="720"/>
      <c r="F24" s="727"/>
      <c r="G24" s="720"/>
      <c r="H24" s="727"/>
      <c r="I24" s="720"/>
      <c r="J24" s="727"/>
      <c r="K24" s="720"/>
      <c r="L24" s="727"/>
      <c r="M24" s="720"/>
      <c r="N24" s="727"/>
      <c r="O24" s="720"/>
      <c r="P24" s="727"/>
      <c r="Q24" s="720"/>
      <c r="R24" s="727"/>
      <c r="S24" s="720"/>
      <c r="T24" s="727"/>
      <c r="U24" s="720"/>
      <c r="V24" s="727"/>
      <c r="W24" s="720"/>
      <c r="X24" s="727"/>
    </row>
    <row r="25" spans="1:24" ht="21" customHeight="1">
      <c r="A25" s="457">
        <f>'資料4.減価償却内訳'!W26</f>
        <v>20</v>
      </c>
      <c r="B25" s="741">
        <f>'資料4.減価償却内訳'!X26</f>
        <v>0</v>
      </c>
      <c r="C25" s="699">
        <f>'資料4.減価償却内訳'!Y26</f>
        <v>0</v>
      </c>
      <c r="D25" s="711">
        <f>'資料4.減価償却内訳'!Z26</f>
        <v>0</v>
      </c>
      <c r="E25" s="720"/>
      <c r="F25" s="727"/>
      <c r="G25" s="720"/>
      <c r="H25" s="727"/>
      <c r="I25" s="720"/>
      <c r="J25" s="727"/>
      <c r="K25" s="720"/>
      <c r="L25" s="727"/>
      <c r="M25" s="720"/>
      <c r="N25" s="727"/>
      <c r="O25" s="720"/>
      <c r="P25" s="727"/>
      <c r="Q25" s="720"/>
      <c r="R25" s="727"/>
      <c r="S25" s="720"/>
      <c r="T25" s="727"/>
      <c r="U25" s="720"/>
      <c r="V25" s="727"/>
      <c r="W25" s="720"/>
      <c r="X25" s="727"/>
    </row>
    <row r="26" spans="1:24" ht="21" customHeight="1">
      <c r="A26" s="457">
        <f>'資料4.減価償却内訳'!W27</f>
        <v>21</v>
      </c>
      <c r="B26" s="463">
        <f>'資料4.減価償却内訳'!X27</f>
        <v>0</v>
      </c>
      <c r="C26" s="699">
        <f>'資料4.減価償却内訳'!Y27</f>
        <v>0</v>
      </c>
      <c r="D26" s="711">
        <f>'資料4.減価償却内訳'!Z27</f>
        <v>0</v>
      </c>
      <c r="E26" s="720"/>
      <c r="F26" s="727"/>
      <c r="G26" s="720"/>
      <c r="H26" s="727"/>
      <c r="I26" s="720"/>
      <c r="J26" s="727"/>
      <c r="K26" s="720"/>
      <c r="L26" s="727"/>
      <c r="M26" s="720"/>
      <c r="N26" s="727"/>
      <c r="O26" s="720"/>
      <c r="P26" s="727"/>
      <c r="Q26" s="720"/>
      <c r="R26" s="727"/>
      <c r="S26" s="720"/>
      <c r="T26" s="727"/>
      <c r="U26" s="720"/>
      <c r="V26" s="727"/>
      <c r="W26" s="720"/>
      <c r="X26" s="727"/>
    </row>
    <row r="27" spans="1:24" ht="21" customHeight="1">
      <c r="A27" s="457">
        <f>'資料4.減価償却内訳'!W28</f>
        <v>22</v>
      </c>
      <c r="B27" s="463">
        <f>'資料4.減価償却内訳'!X28</f>
        <v>0</v>
      </c>
      <c r="C27" s="699">
        <f>'資料4.減価償却内訳'!Y28</f>
        <v>0</v>
      </c>
      <c r="D27" s="711">
        <f>'資料4.減価償却内訳'!Z28</f>
        <v>0</v>
      </c>
      <c r="E27" s="720"/>
      <c r="F27" s="727"/>
      <c r="G27" s="720"/>
      <c r="H27" s="727"/>
      <c r="I27" s="720"/>
      <c r="J27" s="727"/>
      <c r="K27" s="720"/>
      <c r="L27" s="727"/>
      <c r="M27" s="720"/>
      <c r="N27" s="727"/>
      <c r="O27" s="720"/>
      <c r="P27" s="727"/>
      <c r="Q27" s="720"/>
      <c r="R27" s="727"/>
      <c r="S27" s="720"/>
      <c r="T27" s="727"/>
      <c r="U27" s="720"/>
      <c r="V27" s="727"/>
      <c r="W27" s="720"/>
      <c r="X27" s="727"/>
    </row>
    <row r="28" spans="1:24" ht="21" customHeight="1">
      <c r="A28" s="457">
        <f>'資料4.減価償却内訳'!W29</f>
        <v>23</v>
      </c>
      <c r="B28" s="463">
        <f>'資料4.減価償却内訳'!X29</f>
        <v>0</v>
      </c>
      <c r="C28" s="699">
        <f>'資料4.減価償却内訳'!Y29</f>
        <v>0</v>
      </c>
      <c r="D28" s="711">
        <f>'資料4.減価償却内訳'!Z29</f>
        <v>0</v>
      </c>
      <c r="E28" s="720"/>
      <c r="F28" s="727"/>
      <c r="G28" s="720"/>
      <c r="H28" s="727"/>
      <c r="I28" s="720"/>
      <c r="J28" s="727"/>
      <c r="K28" s="720"/>
      <c r="L28" s="727"/>
      <c r="M28" s="720"/>
      <c r="N28" s="727"/>
      <c r="O28" s="720"/>
      <c r="P28" s="727"/>
      <c r="Q28" s="720"/>
      <c r="R28" s="727"/>
      <c r="S28" s="720"/>
      <c r="T28" s="727"/>
      <c r="U28" s="720"/>
      <c r="V28" s="727"/>
      <c r="W28" s="720"/>
      <c r="X28" s="727"/>
    </row>
    <row r="29" spans="1:24" ht="21" customHeight="1">
      <c r="A29" s="457">
        <f>'資料4.減価償却内訳'!W30</f>
        <v>24</v>
      </c>
      <c r="B29" s="463">
        <f>'資料4.減価償却内訳'!X30</f>
        <v>0</v>
      </c>
      <c r="C29" s="699">
        <f>'資料4.減価償却内訳'!Y30</f>
        <v>0</v>
      </c>
      <c r="D29" s="711">
        <f>'資料4.減価償却内訳'!Z30</f>
        <v>0</v>
      </c>
      <c r="E29" s="720"/>
      <c r="F29" s="727"/>
      <c r="G29" s="720"/>
      <c r="H29" s="727"/>
      <c r="I29" s="720"/>
      <c r="J29" s="727"/>
      <c r="K29" s="720"/>
      <c r="L29" s="727"/>
      <c r="M29" s="720"/>
      <c r="N29" s="727"/>
      <c r="O29" s="720"/>
      <c r="P29" s="727"/>
      <c r="Q29" s="720"/>
      <c r="R29" s="727"/>
      <c r="S29" s="720"/>
      <c r="T29" s="727"/>
      <c r="U29" s="720"/>
      <c r="V29" s="727"/>
      <c r="W29" s="720"/>
      <c r="X29" s="727"/>
    </row>
    <row r="30" spans="1:24" ht="21" customHeight="1">
      <c r="A30" s="457">
        <f>'資料4.減価償却内訳'!W31</f>
        <v>25</v>
      </c>
      <c r="B30" s="463">
        <f>'資料4.減価償却内訳'!X31</f>
        <v>0</v>
      </c>
      <c r="C30" s="699">
        <f>'資料4.減価償却内訳'!Y31</f>
        <v>0</v>
      </c>
      <c r="D30" s="711">
        <f>'資料4.減価償却内訳'!Z31</f>
        <v>0</v>
      </c>
      <c r="E30" s="720"/>
      <c r="F30" s="727"/>
      <c r="G30" s="720"/>
      <c r="H30" s="727"/>
      <c r="I30" s="720"/>
      <c r="J30" s="727"/>
      <c r="K30" s="720"/>
      <c r="L30" s="727"/>
      <c r="M30" s="720"/>
      <c r="N30" s="727"/>
      <c r="O30" s="720"/>
      <c r="P30" s="727"/>
      <c r="Q30" s="720"/>
      <c r="R30" s="727"/>
      <c r="S30" s="720"/>
      <c r="T30" s="727"/>
      <c r="U30" s="720"/>
      <c r="V30" s="727"/>
      <c r="W30" s="720"/>
      <c r="X30" s="727"/>
    </row>
    <row r="31" spans="1:24" ht="21" customHeight="1">
      <c r="A31" s="457">
        <f>'資料4.減価償却内訳'!W32</f>
        <v>26</v>
      </c>
      <c r="B31" s="463">
        <f>'資料4.減価償却内訳'!X32</f>
        <v>0</v>
      </c>
      <c r="C31" s="699">
        <f>'資料4.減価償却内訳'!Y32</f>
        <v>0</v>
      </c>
      <c r="D31" s="711">
        <f>'資料4.減価償却内訳'!Z32</f>
        <v>0</v>
      </c>
      <c r="E31" s="720"/>
      <c r="F31" s="727"/>
      <c r="G31" s="720"/>
      <c r="H31" s="727"/>
      <c r="I31" s="720"/>
      <c r="J31" s="727"/>
      <c r="K31" s="720"/>
      <c r="L31" s="727"/>
      <c r="M31" s="720"/>
      <c r="N31" s="727"/>
      <c r="O31" s="720"/>
      <c r="P31" s="727"/>
      <c r="Q31" s="720"/>
      <c r="R31" s="727"/>
      <c r="S31" s="720"/>
      <c r="T31" s="727"/>
      <c r="U31" s="720"/>
      <c r="V31" s="727"/>
      <c r="W31" s="720"/>
      <c r="X31" s="727"/>
    </row>
    <row r="32" spans="1:24" ht="21" customHeight="1">
      <c r="A32" s="457">
        <f>'資料4.減価償却内訳'!W33</f>
        <v>27</v>
      </c>
      <c r="B32" s="463">
        <f>'資料4.減価償却内訳'!X33</f>
        <v>0</v>
      </c>
      <c r="C32" s="699">
        <f>'資料4.減価償却内訳'!Y33</f>
        <v>0</v>
      </c>
      <c r="D32" s="711">
        <f>'資料4.減価償却内訳'!Z33</f>
        <v>0</v>
      </c>
      <c r="E32" s="720"/>
      <c r="F32" s="727"/>
      <c r="G32" s="720"/>
      <c r="H32" s="727"/>
      <c r="I32" s="720"/>
      <c r="J32" s="727"/>
      <c r="K32" s="720"/>
      <c r="L32" s="727"/>
      <c r="M32" s="720"/>
      <c r="N32" s="727"/>
      <c r="O32" s="720"/>
      <c r="P32" s="727"/>
      <c r="Q32" s="720"/>
      <c r="R32" s="727"/>
      <c r="S32" s="720"/>
      <c r="T32" s="727"/>
      <c r="U32" s="720"/>
      <c r="V32" s="727"/>
      <c r="W32" s="720"/>
      <c r="X32" s="727"/>
    </row>
    <row r="33" spans="1:24" ht="21" customHeight="1">
      <c r="A33" s="457">
        <f>'資料4.減価償却内訳'!W34</f>
        <v>28</v>
      </c>
      <c r="B33" s="463">
        <f>'資料4.減価償却内訳'!X34</f>
        <v>0</v>
      </c>
      <c r="C33" s="699">
        <f>'資料4.減価償却内訳'!Y34</f>
        <v>0</v>
      </c>
      <c r="D33" s="711">
        <f>'資料4.減価償却内訳'!Z34</f>
        <v>0</v>
      </c>
      <c r="E33" s="720"/>
      <c r="F33" s="727"/>
      <c r="G33" s="720"/>
      <c r="H33" s="727"/>
      <c r="I33" s="720"/>
      <c r="J33" s="727"/>
      <c r="K33" s="720"/>
      <c r="L33" s="727"/>
      <c r="M33" s="720"/>
      <c r="N33" s="727"/>
      <c r="O33" s="720"/>
      <c r="P33" s="727"/>
      <c r="Q33" s="720"/>
      <c r="R33" s="727"/>
      <c r="S33" s="720"/>
      <c r="T33" s="727"/>
      <c r="U33" s="720"/>
      <c r="V33" s="727"/>
      <c r="W33" s="720"/>
      <c r="X33" s="727"/>
    </row>
    <row r="34" spans="1:24" ht="21" customHeight="1">
      <c r="A34" s="457">
        <f>'資料4.減価償却内訳'!W35</f>
        <v>29</v>
      </c>
      <c r="B34" s="463">
        <f>'資料4.減価償却内訳'!X35</f>
        <v>0</v>
      </c>
      <c r="C34" s="699">
        <f>'資料4.減価償却内訳'!Y35</f>
        <v>0</v>
      </c>
      <c r="D34" s="711">
        <f>'資料4.減価償却内訳'!Z35</f>
        <v>0</v>
      </c>
      <c r="E34" s="720"/>
      <c r="F34" s="727"/>
      <c r="G34" s="720"/>
      <c r="H34" s="727"/>
      <c r="I34" s="720"/>
      <c r="J34" s="727"/>
      <c r="K34" s="720"/>
      <c r="L34" s="727"/>
      <c r="M34" s="720"/>
      <c r="N34" s="727"/>
      <c r="O34" s="720"/>
      <c r="P34" s="727"/>
      <c r="Q34" s="720"/>
      <c r="R34" s="727"/>
      <c r="S34" s="720"/>
      <c r="T34" s="727"/>
      <c r="U34" s="720"/>
      <c r="V34" s="727"/>
      <c r="W34" s="720"/>
      <c r="X34" s="727"/>
    </row>
    <row r="35" spans="1:24" ht="21" customHeight="1">
      <c r="A35" s="458">
        <f>'資料4.減価償却内訳'!W36</f>
        <v>30</v>
      </c>
      <c r="B35" s="464">
        <f>'資料4.減価償却内訳'!X36</f>
        <v>0</v>
      </c>
      <c r="C35" s="700">
        <f>'資料4.減価償却内訳'!Y36</f>
        <v>0</v>
      </c>
      <c r="D35" s="712">
        <f>'資料4.減価償却内訳'!Z36</f>
        <v>0</v>
      </c>
      <c r="E35" s="721"/>
      <c r="F35" s="728"/>
      <c r="G35" s="721"/>
      <c r="H35" s="728"/>
      <c r="I35" s="721"/>
      <c r="J35" s="728"/>
      <c r="K35" s="721"/>
      <c r="L35" s="728"/>
      <c r="M35" s="721"/>
      <c r="N35" s="728"/>
      <c r="O35" s="721"/>
      <c r="P35" s="728"/>
      <c r="Q35" s="721"/>
      <c r="R35" s="728"/>
      <c r="S35" s="721"/>
      <c r="T35" s="728"/>
      <c r="U35" s="721"/>
      <c r="V35" s="728"/>
      <c r="W35" s="721"/>
      <c r="X35" s="728"/>
    </row>
  </sheetData>
  <mergeCells count="314">
    <mergeCell ref="E5:F5"/>
    <mergeCell ref="G5:H5"/>
    <mergeCell ref="I5:J5"/>
    <mergeCell ref="K5:L5"/>
    <mergeCell ref="M5:N5"/>
    <mergeCell ref="O5:P5"/>
    <mergeCell ref="Q5:R5"/>
    <mergeCell ref="S5:T5"/>
    <mergeCell ref="U5:V5"/>
    <mergeCell ref="W5:X5"/>
    <mergeCell ref="E6:F6"/>
    <mergeCell ref="G6:H6"/>
    <mergeCell ref="I6:J6"/>
    <mergeCell ref="K6:L6"/>
    <mergeCell ref="M6:N6"/>
    <mergeCell ref="O6:P6"/>
    <mergeCell ref="Q6:R6"/>
    <mergeCell ref="S6:T6"/>
    <mergeCell ref="U6:V6"/>
    <mergeCell ref="W6:X6"/>
    <mergeCell ref="E7:F7"/>
    <mergeCell ref="G7:H7"/>
    <mergeCell ref="I7:J7"/>
    <mergeCell ref="K7:L7"/>
    <mergeCell ref="M7:N7"/>
    <mergeCell ref="O7:P7"/>
    <mergeCell ref="Q7:R7"/>
    <mergeCell ref="S7:T7"/>
    <mergeCell ref="U7:V7"/>
    <mergeCell ref="W7:X7"/>
    <mergeCell ref="E8:F8"/>
    <mergeCell ref="G8:H8"/>
    <mergeCell ref="I8:J8"/>
    <mergeCell ref="K8:L8"/>
    <mergeCell ref="M8:N8"/>
    <mergeCell ref="O8:P8"/>
    <mergeCell ref="Q8:R8"/>
    <mergeCell ref="S8:T8"/>
    <mergeCell ref="U8:V8"/>
    <mergeCell ref="W8:X8"/>
    <mergeCell ref="E9:F9"/>
    <mergeCell ref="G9:H9"/>
    <mergeCell ref="I9:J9"/>
    <mergeCell ref="K9:L9"/>
    <mergeCell ref="M9:N9"/>
    <mergeCell ref="O9:P9"/>
    <mergeCell ref="Q9:R9"/>
    <mergeCell ref="S9:T9"/>
    <mergeCell ref="U9:V9"/>
    <mergeCell ref="W9:X9"/>
    <mergeCell ref="E10:F10"/>
    <mergeCell ref="G10:H10"/>
    <mergeCell ref="I10:J10"/>
    <mergeCell ref="K10:L10"/>
    <mergeCell ref="M10:N10"/>
    <mergeCell ref="O10:P10"/>
    <mergeCell ref="Q10:R10"/>
    <mergeCell ref="S10:T10"/>
    <mergeCell ref="U10:V10"/>
    <mergeCell ref="W10:X10"/>
    <mergeCell ref="E11:F11"/>
    <mergeCell ref="G11:H11"/>
    <mergeCell ref="I11:J11"/>
    <mergeCell ref="K11:L11"/>
    <mergeCell ref="M11:N11"/>
    <mergeCell ref="O11:P11"/>
    <mergeCell ref="Q11:R11"/>
    <mergeCell ref="S11:T11"/>
    <mergeCell ref="U11:V11"/>
    <mergeCell ref="W11:X11"/>
    <mergeCell ref="E12:F12"/>
    <mergeCell ref="G12:H12"/>
    <mergeCell ref="I12:J12"/>
    <mergeCell ref="K12:L12"/>
    <mergeCell ref="M12:N12"/>
    <mergeCell ref="O12:P12"/>
    <mergeCell ref="Q12:R12"/>
    <mergeCell ref="S12:T12"/>
    <mergeCell ref="U12:V12"/>
    <mergeCell ref="W12:X12"/>
    <mergeCell ref="E13:F13"/>
    <mergeCell ref="G13:H13"/>
    <mergeCell ref="I13:J13"/>
    <mergeCell ref="K13:L13"/>
    <mergeCell ref="M13:N13"/>
    <mergeCell ref="O13:P13"/>
    <mergeCell ref="Q13:R13"/>
    <mergeCell ref="S13:T13"/>
    <mergeCell ref="U13:V13"/>
    <mergeCell ref="W13:X13"/>
    <mergeCell ref="E14:F14"/>
    <mergeCell ref="G14:H14"/>
    <mergeCell ref="I14:J14"/>
    <mergeCell ref="K14:L14"/>
    <mergeCell ref="M14:N14"/>
    <mergeCell ref="O14:P14"/>
    <mergeCell ref="Q14:R14"/>
    <mergeCell ref="S14:T14"/>
    <mergeCell ref="U14:V14"/>
    <mergeCell ref="W14:X14"/>
    <mergeCell ref="E15:F15"/>
    <mergeCell ref="G15:H15"/>
    <mergeCell ref="I15:J15"/>
    <mergeCell ref="K15:L15"/>
    <mergeCell ref="M15:N15"/>
    <mergeCell ref="O15:P15"/>
    <mergeCell ref="Q15:R15"/>
    <mergeCell ref="S15:T15"/>
    <mergeCell ref="U15:V15"/>
    <mergeCell ref="W15:X15"/>
    <mergeCell ref="E16:F16"/>
    <mergeCell ref="G16:H16"/>
    <mergeCell ref="I16:J16"/>
    <mergeCell ref="K16:L16"/>
    <mergeCell ref="M16:N16"/>
    <mergeCell ref="O16:P16"/>
    <mergeCell ref="Q16:R16"/>
    <mergeCell ref="S16:T16"/>
    <mergeCell ref="U16:V16"/>
    <mergeCell ref="W16:X16"/>
    <mergeCell ref="E17:F17"/>
    <mergeCell ref="G17:H17"/>
    <mergeCell ref="I17:J17"/>
    <mergeCell ref="K17:L17"/>
    <mergeCell ref="M17:N17"/>
    <mergeCell ref="O17:P17"/>
    <mergeCell ref="Q17:R17"/>
    <mergeCell ref="S17:T17"/>
    <mergeCell ref="U17:V17"/>
    <mergeCell ref="W17:X17"/>
    <mergeCell ref="E18:F18"/>
    <mergeCell ref="G18:H18"/>
    <mergeCell ref="I18:J18"/>
    <mergeCell ref="K18:L18"/>
    <mergeCell ref="M18:N18"/>
    <mergeCell ref="O18:P18"/>
    <mergeCell ref="Q18:R18"/>
    <mergeCell ref="S18:T18"/>
    <mergeCell ref="U18:V18"/>
    <mergeCell ref="W18:X18"/>
    <mergeCell ref="E19:F19"/>
    <mergeCell ref="G19:H19"/>
    <mergeCell ref="I19:J19"/>
    <mergeCell ref="K19:L19"/>
    <mergeCell ref="M19:N19"/>
    <mergeCell ref="O19:P19"/>
    <mergeCell ref="Q19:R19"/>
    <mergeCell ref="S19:T19"/>
    <mergeCell ref="U19:V19"/>
    <mergeCell ref="W19:X19"/>
    <mergeCell ref="E20:F20"/>
    <mergeCell ref="G20:H20"/>
    <mergeCell ref="I20:J20"/>
    <mergeCell ref="K20:L20"/>
    <mergeCell ref="M20:N20"/>
    <mergeCell ref="O20:P20"/>
    <mergeCell ref="Q20:R20"/>
    <mergeCell ref="S20:T20"/>
    <mergeCell ref="U20:V20"/>
    <mergeCell ref="W20:X20"/>
    <mergeCell ref="E21:F21"/>
    <mergeCell ref="G21:H21"/>
    <mergeCell ref="I21:J21"/>
    <mergeCell ref="K21:L21"/>
    <mergeCell ref="M21:N21"/>
    <mergeCell ref="O21:P21"/>
    <mergeCell ref="Q21:R21"/>
    <mergeCell ref="S21:T21"/>
    <mergeCell ref="U21:V21"/>
    <mergeCell ref="W21:X21"/>
    <mergeCell ref="E22:F22"/>
    <mergeCell ref="G22:H22"/>
    <mergeCell ref="I22:J22"/>
    <mergeCell ref="K22:L22"/>
    <mergeCell ref="M22:N22"/>
    <mergeCell ref="O22:P22"/>
    <mergeCell ref="Q22:R22"/>
    <mergeCell ref="S22:T22"/>
    <mergeCell ref="U22:V22"/>
    <mergeCell ref="W22:X22"/>
    <mergeCell ref="E23:F23"/>
    <mergeCell ref="G23:H23"/>
    <mergeCell ref="I23:J23"/>
    <mergeCell ref="K23:L23"/>
    <mergeCell ref="M23:N23"/>
    <mergeCell ref="O23:P23"/>
    <mergeCell ref="Q23:R23"/>
    <mergeCell ref="S23:T23"/>
    <mergeCell ref="U23:V23"/>
    <mergeCell ref="W23:X23"/>
    <mergeCell ref="E24:F24"/>
    <mergeCell ref="G24:H24"/>
    <mergeCell ref="I24:J24"/>
    <mergeCell ref="K24:L24"/>
    <mergeCell ref="M24:N24"/>
    <mergeCell ref="O24:P24"/>
    <mergeCell ref="Q24:R24"/>
    <mergeCell ref="S24:T24"/>
    <mergeCell ref="U24:V24"/>
    <mergeCell ref="W24:X24"/>
    <mergeCell ref="E25:F25"/>
    <mergeCell ref="G25:H25"/>
    <mergeCell ref="I25:J25"/>
    <mergeCell ref="K25:L25"/>
    <mergeCell ref="M25:N25"/>
    <mergeCell ref="O25:P25"/>
    <mergeCell ref="Q25:R25"/>
    <mergeCell ref="S25:T25"/>
    <mergeCell ref="U25:V25"/>
    <mergeCell ref="W25:X25"/>
    <mergeCell ref="E26:F26"/>
    <mergeCell ref="G26:H26"/>
    <mergeCell ref="I26:J26"/>
    <mergeCell ref="K26:L26"/>
    <mergeCell ref="M26:N26"/>
    <mergeCell ref="O26:P26"/>
    <mergeCell ref="Q26:R26"/>
    <mergeCell ref="S26:T26"/>
    <mergeCell ref="U26:V26"/>
    <mergeCell ref="W26:X26"/>
    <mergeCell ref="E27:F27"/>
    <mergeCell ref="G27:H27"/>
    <mergeCell ref="I27:J27"/>
    <mergeCell ref="K27:L27"/>
    <mergeCell ref="M27:N27"/>
    <mergeCell ref="O27:P27"/>
    <mergeCell ref="Q27:R27"/>
    <mergeCell ref="S27:T27"/>
    <mergeCell ref="U27:V27"/>
    <mergeCell ref="W27:X27"/>
    <mergeCell ref="E28:F28"/>
    <mergeCell ref="G28:H28"/>
    <mergeCell ref="I28:J28"/>
    <mergeCell ref="K28:L28"/>
    <mergeCell ref="M28:N28"/>
    <mergeCell ref="O28:P28"/>
    <mergeCell ref="Q28:R28"/>
    <mergeCell ref="S28:T28"/>
    <mergeCell ref="U28:V28"/>
    <mergeCell ref="W28:X28"/>
    <mergeCell ref="E29:F29"/>
    <mergeCell ref="G29:H29"/>
    <mergeCell ref="I29:J29"/>
    <mergeCell ref="K29:L29"/>
    <mergeCell ref="M29:N29"/>
    <mergeCell ref="O29:P29"/>
    <mergeCell ref="Q29:R29"/>
    <mergeCell ref="S29:T29"/>
    <mergeCell ref="U29:V29"/>
    <mergeCell ref="W29:X29"/>
    <mergeCell ref="E30:F30"/>
    <mergeCell ref="G30:H30"/>
    <mergeCell ref="I30:J30"/>
    <mergeCell ref="K30:L30"/>
    <mergeCell ref="M30:N30"/>
    <mergeCell ref="O30:P30"/>
    <mergeCell ref="Q30:R30"/>
    <mergeCell ref="S30:T30"/>
    <mergeCell ref="U30:V30"/>
    <mergeCell ref="W30:X30"/>
    <mergeCell ref="E31:F31"/>
    <mergeCell ref="G31:H31"/>
    <mergeCell ref="I31:J31"/>
    <mergeCell ref="K31:L31"/>
    <mergeCell ref="M31:N31"/>
    <mergeCell ref="O31:P31"/>
    <mergeCell ref="Q31:R31"/>
    <mergeCell ref="S31:T31"/>
    <mergeCell ref="U31:V31"/>
    <mergeCell ref="W31:X31"/>
    <mergeCell ref="E32:F32"/>
    <mergeCell ref="G32:H32"/>
    <mergeCell ref="I32:J32"/>
    <mergeCell ref="K32:L32"/>
    <mergeCell ref="M32:N32"/>
    <mergeCell ref="O32:P32"/>
    <mergeCell ref="Q32:R32"/>
    <mergeCell ref="S32:T32"/>
    <mergeCell ref="U32:V32"/>
    <mergeCell ref="W32:X32"/>
    <mergeCell ref="E33:F33"/>
    <mergeCell ref="G33:H33"/>
    <mergeCell ref="I33:J33"/>
    <mergeCell ref="K33:L33"/>
    <mergeCell ref="M33:N33"/>
    <mergeCell ref="O33:P33"/>
    <mergeCell ref="Q33:R33"/>
    <mergeCell ref="S33:T33"/>
    <mergeCell ref="U33:V33"/>
    <mergeCell ref="W33:X33"/>
    <mergeCell ref="E34:F34"/>
    <mergeCell ref="G34:H34"/>
    <mergeCell ref="I34:J34"/>
    <mergeCell ref="K34:L34"/>
    <mergeCell ref="M34:N34"/>
    <mergeCell ref="O34:P34"/>
    <mergeCell ref="Q34:R34"/>
    <mergeCell ref="S34:T34"/>
    <mergeCell ref="U34:V34"/>
    <mergeCell ref="W34:X34"/>
    <mergeCell ref="E35:F35"/>
    <mergeCell ref="G35:H35"/>
    <mergeCell ref="I35:J35"/>
    <mergeCell ref="K35:L35"/>
    <mergeCell ref="M35:N35"/>
    <mergeCell ref="O35:P35"/>
    <mergeCell ref="Q35:R35"/>
    <mergeCell ref="S35:T35"/>
    <mergeCell ref="U35:V35"/>
    <mergeCell ref="W35:X35"/>
    <mergeCell ref="A2:A5"/>
    <mergeCell ref="B2:B5"/>
    <mergeCell ref="C2:C5"/>
    <mergeCell ref="D3:D5"/>
  </mergeCells>
  <phoneticPr fontId="9"/>
  <pageMargins left="0.78740157480314965" right="0.59055118110236227" top="0.78740157480314965" bottom="0.59055118110236227" header="0.51181102362204722" footer="0.51181102362204722"/>
  <pageSetup paperSize="9" scale="52" fitToWidth="1" fitToHeight="0" orientation="landscape" usePrinterDefaults="1" r:id="rId1"/>
  <headerFooter alignWithMargins="0">
    <oddHeader>&amp;L資料５</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M330"/>
  <sheetViews>
    <sheetView showZeros="0" view="pageBreakPreview" topLeftCell="B1" zoomScale="75" zoomScaleSheetLayoutView="75" workbookViewId="0">
      <selection activeCell="E2" sqref="E2"/>
    </sheetView>
  </sheetViews>
  <sheetFormatPr defaultRowHeight="13.5"/>
  <cols>
    <col min="1" max="1" width="9" style="742" hidden="1" customWidth="1"/>
    <col min="2" max="2" width="3.75" style="742" customWidth="1"/>
    <col min="3" max="12" width="14.125" style="742" customWidth="1"/>
    <col min="13" max="13" width="3.125" style="742" customWidth="1"/>
    <col min="14" max="16384" width="9" style="742" customWidth="1"/>
  </cols>
  <sheetData>
    <row r="1" spans="2:13" ht="17.25">
      <c r="B1" s="55"/>
      <c r="C1" s="745"/>
      <c r="E1" s="8" t="s">
        <v>271</v>
      </c>
      <c r="F1" s="759" t="s">
        <v>65</v>
      </c>
    </row>
    <row r="2" spans="2:13" ht="25.5" customHeight="1">
      <c r="J2" s="771" t="s">
        <v>212</v>
      </c>
      <c r="K2" s="776" t="str">
        <f>細目諸様式!O6</f>
        <v>邑南集落</v>
      </c>
      <c r="L2" s="771"/>
    </row>
    <row r="3" spans="2:13" ht="25.5" customHeight="1">
      <c r="J3" s="772" t="s">
        <v>214</v>
      </c>
      <c r="K3" s="764" t="str">
        <f>細目諸様式!B6</f>
        <v>口羽太郎</v>
      </c>
      <c r="L3" s="763"/>
    </row>
    <row r="5" spans="2:13">
      <c r="C5" s="746" t="s">
        <v>216</v>
      </c>
      <c r="D5" s="750" t="s">
        <v>128</v>
      </c>
      <c r="E5" s="754" t="s">
        <v>220</v>
      </c>
      <c r="F5" s="760" t="s">
        <v>205</v>
      </c>
      <c r="G5" s="760"/>
      <c r="H5" s="767"/>
      <c r="I5" s="768" t="s">
        <v>35</v>
      </c>
      <c r="J5" s="773" t="s">
        <v>221</v>
      </c>
      <c r="K5" s="777" t="s">
        <v>219</v>
      </c>
      <c r="L5" s="779" t="s">
        <v>187</v>
      </c>
    </row>
    <row r="6" spans="2:13" ht="13.5" customHeight="1">
      <c r="C6" s="747"/>
      <c r="D6" s="751"/>
      <c r="E6" s="755"/>
      <c r="F6" s="761" t="s">
        <v>126</v>
      </c>
      <c r="G6" s="765" t="s">
        <v>217</v>
      </c>
      <c r="H6" s="750" t="s">
        <v>31</v>
      </c>
      <c r="I6" s="769"/>
      <c r="J6" s="774"/>
      <c r="K6" s="745"/>
      <c r="L6" s="780"/>
    </row>
    <row r="7" spans="2:13" s="743" customFormat="1" ht="67.5" customHeight="1">
      <c r="C7" s="748"/>
      <c r="D7" s="752"/>
      <c r="E7" s="756"/>
      <c r="F7" s="762"/>
      <c r="G7" s="766"/>
      <c r="H7" s="766"/>
      <c r="I7" s="770"/>
      <c r="J7" s="775"/>
      <c r="K7" s="778"/>
      <c r="L7" s="781"/>
    </row>
    <row r="8" spans="2:13" ht="27" customHeight="1">
      <c r="C8" s="749">
        <f>細目諸様式!E6</f>
        <v>336000</v>
      </c>
      <c r="D8" s="749">
        <f>細目諸様式!F6</f>
        <v>5000</v>
      </c>
      <c r="E8" s="757">
        <f>細目諸様式!G6</f>
        <v>341000</v>
      </c>
      <c r="F8" s="763">
        <f>細目諸様式!H6</f>
        <v>666667</v>
      </c>
      <c r="G8" s="753">
        <f>細目諸様式!I6</f>
        <v>0</v>
      </c>
      <c r="H8" s="753">
        <f>細目諸様式!J6</f>
        <v>658333</v>
      </c>
      <c r="I8" s="753">
        <f>細目諸様式!K6</f>
        <v>8334</v>
      </c>
      <c r="J8" s="753">
        <f>細目諸様式!L6</f>
        <v>201200</v>
      </c>
      <c r="K8" s="757">
        <f>細目諸様式!M6</f>
        <v>209534</v>
      </c>
      <c r="L8" s="782">
        <f>細目諸様式!N6</f>
        <v>131466</v>
      </c>
    </row>
    <row r="10" spans="2:13">
      <c r="C10" s="742" t="s">
        <v>215</v>
      </c>
    </row>
    <row r="11" spans="2:13">
      <c r="B11" s="744"/>
      <c r="C11" s="744"/>
      <c r="D11" s="744"/>
      <c r="E11" s="744"/>
      <c r="F11" s="744"/>
      <c r="G11" s="744"/>
      <c r="H11" s="744"/>
      <c r="I11" s="744"/>
      <c r="J11" s="744"/>
      <c r="K11" s="744"/>
      <c r="L11" s="744"/>
      <c r="M11" s="784"/>
    </row>
    <row r="12" spans="2:13" ht="17.25">
      <c r="B12" s="55"/>
      <c r="C12" s="745"/>
      <c r="E12" s="8" t="str">
        <f>$E$1</f>
        <v>令和６年中の</v>
      </c>
      <c r="F12" s="759" t="s">
        <v>65</v>
      </c>
    </row>
    <row r="13" spans="2:13" ht="25.5" customHeight="1">
      <c r="J13" s="771" t="s">
        <v>212</v>
      </c>
      <c r="K13" s="776" t="str">
        <f>細目諸様式!O7</f>
        <v>邑南集落</v>
      </c>
      <c r="L13" s="771"/>
    </row>
    <row r="14" spans="2:13" ht="25.5" customHeight="1">
      <c r="J14" s="772" t="s">
        <v>214</v>
      </c>
      <c r="K14" s="764" t="str">
        <f>細目諸様式!B7</f>
        <v>阿須那花子</v>
      </c>
      <c r="L14" s="763"/>
    </row>
    <row r="16" spans="2:13">
      <c r="C16" s="746" t="s">
        <v>216</v>
      </c>
      <c r="D16" s="750" t="s">
        <v>128</v>
      </c>
      <c r="E16" s="754" t="s">
        <v>220</v>
      </c>
      <c r="F16" s="760" t="s">
        <v>205</v>
      </c>
      <c r="G16" s="760"/>
      <c r="H16" s="767"/>
      <c r="I16" s="768" t="s">
        <v>35</v>
      </c>
      <c r="J16" s="773" t="s">
        <v>221</v>
      </c>
      <c r="K16" s="777" t="s">
        <v>219</v>
      </c>
      <c r="L16" s="779" t="s">
        <v>187</v>
      </c>
    </row>
    <row r="17" spans="2:13" ht="13.5" customHeight="1">
      <c r="C17" s="747"/>
      <c r="D17" s="751"/>
      <c r="E17" s="755"/>
      <c r="F17" s="761" t="s">
        <v>126</v>
      </c>
      <c r="G17" s="765" t="s">
        <v>217</v>
      </c>
      <c r="H17" s="750" t="s">
        <v>31</v>
      </c>
      <c r="I17" s="769"/>
      <c r="J17" s="774"/>
      <c r="K17" s="745"/>
      <c r="L17" s="780"/>
    </row>
    <row r="18" spans="2:13" s="743" customFormat="1" ht="67.5" customHeight="1">
      <c r="C18" s="748"/>
      <c r="D18" s="752"/>
      <c r="E18" s="756"/>
      <c r="F18" s="762"/>
      <c r="G18" s="766"/>
      <c r="H18" s="766"/>
      <c r="I18" s="770"/>
      <c r="J18" s="775"/>
      <c r="K18" s="778"/>
      <c r="L18" s="781"/>
    </row>
    <row r="19" spans="2:13" ht="27" customHeight="1">
      <c r="C19" s="749">
        <f>細目諸様式!E7</f>
        <v>336000</v>
      </c>
      <c r="D19" s="753">
        <f>細目諸様式!F7</f>
        <v>2000</v>
      </c>
      <c r="E19" s="757">
        <f>細目諸様式!G7</f>
        <v>338000</v>
      </c>
      <c r="F19" s="763">
        <f>細目諸様式!H7</f>
        <v>666667</v>
      </c>
      <c r="G19" s="753">
        <f>細目諸様式!I7</f>
        <v>0</v>
      </c>
      <c r="H19" s="753">
        <f>細目諸様式!J7</f>
        <v>658333</v>
      </c>
      <c r="I19" s="753">
        <f>細目諸様式!K7</f>
        <v>8334</v>
      </c>
      <c r="J19" s="753">
        <f>細目諸様式!L7</f>
        <v>201200</v>
      </c>
      <c r="K19" s="757">
        <f>細目諸様式!M7</f>
        <v>209534</v>
      </c>
      <c r="L19" s="782">
        <f>細目諸様式!N7</f>
        <v>128466</v>
      </c>
    </row>
    <row r="21" spans="2:13">
      <c r="C21" s="742" t="s">
        <v>215</v>
      </c>
    </row>
    <row r="22" spans="2:13">
      <c r="B22" s="744"/>
      <c r="C22" s="744"/>
      <c r="D22" s="744"/>
      <c r="E22" s="744"/>
      <c r="F22" s="744"/>
      <c r="G22" s="744"/>
      <c r="H22" s="744"/>
      <c r="I22" s="744"/>
      <c r="J22" s="744"/>
      <c r="K22" s="744"/>
      <c r="L22" s="744"/>
      <c r="M22" s="784"/>
    </row>
    <row r="23" spans="2:13" ht="17.25">
      <c r="B23" s="55"/>
      <c r="C23" s="745"/>
      <c r="E23" s="8" t="str">
        <f>$E$1</f>
        <v>令和６年中の</v>
      </c>
      <c r="F23" s="759" t="s">
        <v>65</v>
      </c>
    </row>
    <row r="24" spans="2:13" ht="25.5" customHeight="1">
      <c r="J24" s="771" t="s">
        <v>212</v>
      </c>
      <c r="K24" s="776" t="str">
        <f>細目諸様式!O8</f>
        <v>邑南集落</v>
      </c>
      <c r="L24" s="771"/>
    </row>
    <row r="25" spans="2:13" ht="25.5" customHeight="1">
      <c r="J25" s="772" t="s">
        <v>214</v>
      </c>
      <c r="K25" s="764" t="str">
        <f>細目諸様式!B8</f>
        <v>布施一郎</v>
      </c>
      <c r="L25" s="763"/>
    </row>
    <row r="27" spans="2:13" ht="13.5" customHeight="1">
      <c r="C27" s="746" t="s">
        <v>216</v>
      </c>
      <c r="D27" s="750" t="s">
        <v>128</v>
      </c>
      <c r="E27" s="754" t="s">
        <v>220</v>
      </c>
      <c r="F27" s="760" t="s">
        <v>205</v>
      </c>
      <c r="G27" s="760"/>
      <c r="H27" s="767"/>
      <c r="I27" s="768" t="s">
        <v>35</v>
      </c>
      <c r="J27" s="773" t="s">
        <v>221</v>
      </c>
      <c r="K27" s="777" t="s">
        <v>219</v>
      </c>
      <c r="L27" s="779" t="s">
        <v>187</v>
      </c>
    </row>
    <row r="28" spans="2:13" ht="13.5" customHeight="1">
      <c r="C28" s="747"/>
      <c r="D28" s="751"/>
      <c r="E28" s="755"/>
      <c r="F28" s="761" t="s">
        <v>126</v>
      </c>
      <c r="G28" s="765" t="s">
        <v>217</v>
      </c>
      <c r="H28" s="750" t="s">
        <v>31</v>
      </c>
      <c r="I28" s="769"/>
      <c r="J28" s="774"/>
      <c r="K28" s="745"/>
      <c r="L28" s="780"/>
    </row>
    <row r="29" spans="2:13" s="743" customFormat="1" ht="67.5" customHeight="1">
      <c r="C29" s="748"/>
      <c r="D29" s="752"/>
      <c r="E29" s="756"/>
      <c r="F29" s="762"/>
      <c r="G29" s="766"/>
      <c r="H29" s="766"/>
      <c r="I29" s="770"/>
      <c r="J29" s="775"/>
      <c r="K29" s="778"/>
      <c r="L29" s="781"/>
    </row>
    <row r="30" spans="2:13" ht="27" customHeight="1">
      <c r="C30" s="749">
        <f>細目諸様式!E8</f>
        <v>336000</v>
      </c>
      <c r="D30" s="749">
        <f>細目諸様式!F8</f>
        <v>4000</v>
      </c>
      <c r="E30" s="758">
        <f>細目諸様式!G8</f>
        <v>340000</v>
      </c>
      <c r="F30" s="764">
        <f>細目諸様式!H8</f>
        <v>666667</v>
      </c>
      <c r="G30" s="749">
        <f>細目諸様式!I8</f>
        <v>0</v>
      </c>
      <c r="H30" s="749">
        <f>細目諸様式!J8</f>
        <v>658333</v>
      </c>
      <c r="I30" s="749">
        <f>細目諸様式!K8</f>
        <v>8334</v>
      </c>
      <c r="J30" s="749">
        <f>細目諸様式!L8</f>
        <v>201200</v>
      </c>
      <c r="K30" s="758">
        <f>細目諸様式!M8</f>
        <v>209534</v>
      </c>
      <c r="L30" s="783">
        <f>細目諸様式!N8</f>
        <v>130466</v>
      </c>
    </row>
    <row r="32" spans="2:13">
      <c r="C32" s="742" t="s">
        <v>215</v>
      </c>
    </row>
    <row r="33" spans="2:13">
      <c r="B33" s="744"/>
      <c r="C33" s="744"/>
      <c r="D33" s="744"/>
      <c r="E33" s="744"/>
      <c r="F33" s="744"/>
      <c r="G33" s="744"/>
      <c r="H33" s="744"/>
      <c r="I33" s="744"/>
      <c r="J33" s="744"/>
      <c r="K33" s="744"/>
      <c r="L33" s="744"/>
      <c r="M33" s="784"/>
    </row>
    <row r="34" spans="2:13" ht="17.25">
      <c r="B34" s="55"/>
      <c r="C34" s="745"/>
      <c r="E34" s="8" t="str">
        <f>$E$1</f>
        <v>令和６年中の</v>
      </c>
      <c r="F34" s="759" t="s">
        <v>65</v>
      </c>
    </row>
    <row r="35" spans="2:13" ht="25.5" customHeight="1">
      <c r="J35" s="771" t="s">
        <v>212</v>
      </c>
      <c r="K35" s="776" t="str">
        <f>細目諸様式!O9</f>
        <v>邑南集落</v>
      </c>
      <c r="L35" s="771"/>
    </row>
    <row r="36" spans="2:13" ht="25.5" customHeight="1">
      <c r="J36" s="772" t="s">
        <v>214</v>
      </c>
      <c r="K36" s="764" t="str">
        <f>細目諸様式!B9</f>
        <v>高原二郎</v>
      </c>
      <c r="L36" s="763"/>
    </row>
    <row r="38" spans="2:13" ht="13.5" customHeight="1">
      <c r="C38" s="746" t="s">
        <v>216</v>
      </c>
      <c r="D38" s="750" t="s">
        <v>128</v>
      </c>
      <c r="E38" s="754" t="s">
        <v>220</v>
      </c>
      <c r="F38" s="760" t="s">
        <v>205</v>
      </c>
      <c r="G38" s="760"/>
      <c r="H38" s="767"/>
      <c r="I38" s="768" t="s">
        <v>35</v>
      </c>
      <c r="J38" s="773" t="s">
        <v>221</v>
      </c>
      <c r="K38" s="777" t="s">
        <v>219</v>
      </c>
      <c r="L38" s="779" t="s">
        <v>187</v>
      </c>
    </row>
    <row r="39" spans="2:13" ht="13.5" customHeight="1">
      <c r="C39" s="747"/>
      <c r="D39" s="751"/>
      <c r="E39" s="755"/>
      <c r="F39" s="761" t="s">
        <v>126</v>
      </c>
      <c r="G39" s="765" t="s">
        <v>217</v>
      </c>
      <c r="H39" s="750" t="s">
        <v>31</v>
      </c>
      <c r="I39" s="769"/>
      <c r="J39" s="774"/>
      <c r="K39" s="745"/>
      <c r="L39" s="780"/>
    </row>
    <row r="40" spans="2:13" s="743" customFormat="1" ht="67.5" customHeight="1">
      <c r="C40" s="748"/>
      <c r="D40" s="752"/>
      <c r="E40" s="756"/>
      <c r="F40" s="762"/>
      <c r="G40" s="766"/>
      <c r="H40" s="766"/>
      <c r="I40" s="770"/>
      <c r="J40" s="775"/>
      <c r="K40" s="778"/>
      <c r="L40" s="781"/>
    </row>
    <row r="41" spans="2:13" ht="27" customHeight="1">
      <c r="C41" s="749">
        <f>細目諸様式!E9</f>
        <v>336000</v>
      </c>
      <c r="D41" s="753">
        <f>細目諸様式!F9</f>
        <v>4000</v>
      </c>
      <c r="E41" s="757">
        <f>細目諸様式!G9</f>
        <v>340000</v>
      </c>
      <c r="F41" s="763">
        <f>細目諸様式!H9</f>
        <v>666667</v>
      </c>
      <c r="G41" s="753">
        <f>細目諸様式!I9</f>
        <v>0</v>
      </c>
      <c r="H41" s="753">
        <f>細目諸様式!J9</f>
        <v>658333</v>
      </c>
      <c r="I41" s="753">
        <f>細目諸様式!K9</f>
        <v>8334</v>
      </c>
      <c r="J41" s="753">
        <f>細目諸様式!L9</f>
        <v>201200</v>
      </c>
      <c r="K41" s="757">
        <f>細目諸様式!M9</f>
        <v>209534</v>
      </c>
      <c r="L41" s="782">
        <f>細目諸様式!N9</f>
        <v>130466</v>
      </c>
    </row>
    <row r="43" spans="2:13">
      <c r="C43" s="742" t="s">
        <v>215</v>
      </c>
    </row>
    <row r="44" spans="2:13">
      <c r="B44" s="744"/>
      <c r="C44" s="744"/>
      <c r="D44" s="744"/>
      <c r="E44" s="744"/>
      <c r="F44" s="744"/>
      <c r="G44" s="744"/>
      <c r="H44" s="744"/>
      <c r="I44" s="744"/>
      <c r="J44" s="744"/>
      <c r="K44" s="744"/>
      <c r="L44" s="744"/>
      <c r="M44" s="784"/>
    </row>
    <row r="45" spans="2:13" ht="17.25">
      <c r="B45" s="55"/>
      <c r="C45" s="745"/>
      <c r="E45" s="8" t="str">
        <f>$E$1</f>
        <v>令和６年中の</v>
      </c>
      <c r="F45" s="759" t="s">
        <v>65</v>
      </c>
    </row>
    <row r="46" spans="2:13" ht="25.5" customHeight="1">
      <c r="J46" s="771" t="s">
        <v>212</v>
      </c>
      <c r="K46" s="776" t="str">
        <f>細目諸様式!O10</f>
        <v>邑南集落</v>
      </c>
      <c r="L46" s="771"/>
    </row>
    <row r="47" spans="2:13" ht="25.5" customHeight="1">
      <c r="J47" s="772" t="s">
        <v>214</v>
      </c>
      <c r="K47" s="764" t="str">
        <f>細目諸様式!B10</f>
        <v>出羽三郎</v>
      </c>
      <c r="L47" s="763"/>
    </row>
    <row r="49" spans="2:13">
      <c r="C49" s="746" t="s">
        <v>216</v>
      </c>
      <c r="D49" s="750" t="s">
        <v>128</v>
      </c>
      <c r="E49" s="754" t="s">
        <v>220</v>
      </c>
      <c r="F49" s="760" t="s">
        <v>205</v>
      </c>
      <c r="G49" s="760"/>
      <c r="H49" s="767"/>
      <c r="I49" s="768" t="s">
        <v>35</v>
      </c>
      <c r="J49" s="773" t="s">
        <v>221</v>
      </c>
      <c r="K49" s="777" t="s">
        <v>219</v>
      </c>
      <c r="L49" s="779" t="s">
        <v>187</v>
      </c>
    </row>
    <row r="50" spans="2:13" ht="13.5" customHeight="1">
      <c r="C50" s="747"/>
      <c r="D50" s="751"/>
      <c r="E50" s="755"/>
      <c r="F50" s="761" t="s">
        <v>126</v>
      </c>
      <c r="G50" s="765" t="s">
        <v>217</v>
      </c>
      <c r="H50" s="750" t="s">
        <v>31</v>
      </c>
      <c r="I50" s="769"/>
      <c r="J50" s="774"/>
      <c r="K50" s="745"/>
      <c r="L50" s="780"/>
    </row>
    <row r="51" spans="2:13" s="743" customFormat="1" ht="67.5" customHeight="1">
      <c r="C51" s="748"/>
      <c r="D51" s="752"/>
      <c r="E51" s="756"/>
      <c r="F51" s="762"/>
      <c r="G51" s="766"/>
      <c r="H51" s="766"/>
      <c r="I51" s="770"/>
      <c r="J51" s="775"/>
      <c r="K51" s="778"/>
      <c r="L51" s="781"/>
    </row>
    <row r="52" spans="2:13" ht="27" customHeight="1">
      <c r="C52" s="749">
        <f>細目諸様式!E10</f>
        <v>336000</v>
      </c>
      <c r="D52" s="753">
        <f>細目諸様式!F10</f>
        <v>2000</v>
      </c>
      <c r="E52" s="757">
        <f>細目諸様式!G10</f>
        <v>338000</v>
      </c>
      <c r="F52" s="763">
        <f>細目諸様式!H10</f>
        <v>666667</v>
      </c>
      <c r="G52" s="753">
        <f>細目諸様式!I10</f>
        <v>0</v>
      </c>
      <c r="H52" s="753">
        <f>細目諸様式!J10</f>
        <v>658333</v>
      </c>
      <c r="I52" s="753">
        <f>細目諸様式!K10</f>
        <v>8334</v>
      </c>
      <c r="J52" s="753">
        <f>細目諸様式!L10</f>
        <v>201200</v>
      </c>
      <c r="K52" s="757">
        <f>細目諸様式!M10</f>
        <v>209534</v>
      </c>
      <c r="L52" s="782">
        <f>細目諸様式!N10</f>
        <v>128466</v>
      </c>
    </row>
    <row r="54" spans="2:13">
      <c r="C54" s="742" t="s">
        <v>215</v>
      </c>
    </row>
    <row r="55" spans="2:13">
      <c r="B55" s="744"/>
      <c r="C55" s="744"/>
      <c r="D55" s="744"/>
      <c r="E55" s="744"/>
      <c r="F55" s="744"/>
      <c r="G55" s="744"/>
      <c r="H55" s="744"/>
      <c r="I55" s="744"/>
      <c r="J55" s="744"/>
      <c r="K55" s="744"/>
      <c r="L55" s="744"/>
      <c r="M55" s="784"/>
    </row>
    <row r="56" spans="2:13" ht="17.25">
      <c r="B56" s="55"/>
      <c r="C56" s="745"/>
      <c r="E56" s="8" t="str">
        <f>$E$1</f>
        <v>令和６年中の</v>
      </c>
      <c r="F56" s="759" t="s">
        <v>65</v>
      </c>
    </row>
    <row r="57" spans="2:13" ht="25.5" customHeight="1">
      <c r="J57" s="771" t="s">
        <v>212</v>
      </c>
      <c r="K57" s="776" t="str">
        <f>細目諸様式!O11</f>
        <v>邑南集落</v>
      </c>
      <c r="L57" s="771"/>
    </row>
    <row r="58" spans="2:13" ht="25.5" customHeight="1">
      <c r="J58" s="772" t="s">
        <v>214</v>
      </c>
      <c r="K58" s="764" t="str">
        <f>細目諸様式!B11</f>
        <v>田所四郎</v>
      </c>
      <c r="L58" s="763"/>
    </row>
    <row r="60" spans="2:13">
      <c r="C60" s="746" t="s">
        <v>216</v>
      </c>
      <c r="D60" s="750" t="s">
        <v>128</v>
      </c>
      <c r="E60" s="754" t="s">
        <v>220</v>
      </c>
      <c r="F60" s="760" t="s">
        <v>205</v>
      </c>
      <c r="G60" s="760"/>
      <c r="H60" s="767"/>
      <c r="I60" s="768" t="s">
        <v>35</v>
      </c>
      <c r="J60" s="773" t="s">
        <v>221</v>
      </c>
      <c r="K60" s="777" t="s">
        <v>219</v>
      </c>
      <c r="L60" s="779" t="s">
        <v>187</v>
      </c>
    </row>
    <row r="61" spans="2:13" ht="13.5" customHeight="1">
      <c r="C61" s="747"/>
      <c r="D61" s="751"/>
      <c r="E61" s="755"/>
      <c r="F61" s="761" t="s">
        <v>126</v>
      </c>
      <c r="G61" s="765" t="s">
        <v>217</v>
      </c>
      <c r="H61" s="750" t="s">
        <v>31</v>
      </c>
      <c r="I61" s="769"/>
      <c r="J61" s="774"/>
      <c r="K61" s="745"/>
      <c r="L61" s="780"/>
    </row>
    <row r="62" spans="2:13" s="743" customFormat="1" ht="67.5" customHeight="1">
      <c r="C62" s="748"/>
      <c r="D62" s="752"/>
      <c r="E62" s="756"/>
      <c r="F62" s="762"/>
      <c r="G62" s="766"/>
      <c r="H62" s="766"/>
      <c r="I62" s="770"/>
      <c r="J62" s="775"/>
      <c r="K62" s="778"/>
      <c r="L62" s="781"/>
    </row>
    <row r="63" spans="2:13" ht="27" customHeight="1">
      <c r="C63" s="749">
        <f>細目諸様式!E11</f>
        <v>378000</v>
      </c>
      <c r="D63" s="749">
        <f>細目諸様式!F11</f>
        <v>2000</v>
      </c>
      <c r="E63" s="757">
        <f>細目諸様式!G11</f>
        <v>380000</v>
      </c>
      <c r="F63" s="763">
        <f>細目諸様式!H11</f>
        <v>666667</v>
      </c>
      <c r="G63" s="753">
        <f>細目諸様式!I11</f>
        <v>0</v>
      </c>
      <c r="H63" s="753">
        <f>細目諸様式!J11</f>
        <v>658333</v>
      </c>
      <c r="I63" s="753">
        <f>細目諸様式!K11</f>
        <v>8334</v>
      </c>
      <c r="J63" s="753">
        <f>細目諸様式!L11</f>
        <v>201200</v>
      </c>
      <c r="K63" s="757">
        <f>細目諸様式!M11</f>
        <v>209534</v>
      </c>
      <c r="L63" s="782">
        <f>細目諸様式!N11</f>
        <v>170466</v>
      </c>
    </row>
    <row r="65" spans="2:13">
      <c r="C65" s="742" t="s">
        <v>215</v>
      </c>
    </row>
    <row r="66" spans="2:13">
      <c r="B66" s="744"/>
      <c r="C66" s="744"/>
      <c r="D66" s="744"/>
      <c r="E66" s="744"/>
      <c r="F66" s="744"/>
      <c r="G66" s="744"/>
      <c r="H66" s="744"/>
      <c r="I66" s="744"/>
      <c r="J66" s="744"/>
      <c r="K66" s="744"/>
      <c r="L66" s="744"/>
      <c r="M66" s="784"/>
    </row>
    <row r="67" spans="2:13" ht="17.25">
      <c r="B67" s="55"/>
      <c r="C67" s="745"/>
      <c r="E67" s="8" t="str">
        <f>$E$1</f>
        <v>令和６年中の</v>
      </c>
      <c r="F67" s="759" t="s">
        <v>65</v>
      </c>
    </row>
    <row r="68" spans="2:13" ht="25.5" customHeight="1">
      <c r="J68" s="771" t="s">
        <v>212</v>
      </c>
      <c r="K68" s="776" t="str">
        <f>細目諸様式!O12</f>
        <v>邑南集落</v>
      </c>
      <c r="L68" s="771"/>
    </row>
    <row r="69" spans="2:13" ht="25.5" customHeight="1">
      <c r="J69" s="772" t="s">
        <v>214</v>
      </c>
      <c r="K69" s="764" t="str">
        <f>細目諸様式!B12</f>
        <v>市木五郎</v>
      </c>
      <c r="L69" s="763"/>
    </row>
    <row r="71" spans="2:13">
      <c r="C71" s="746" t="s">
        <v>216</v>
      </c>
      <c r="D71" s="750" t="s">
        <v>128</v>
      </c>
      <c r="E71" s="754" t="s">
        <v>220</v>
      </c>
      <c r="F71" s="760" t="s">
        <v>205</v>
      </c>
      <c r="G71" s="760"/>
      <c r="H71" s="767"/>
      <c r="I71" s="768" t="s">
        <v>35</v>
      </c>
      <c r="J71" s="773" t="s">
        <v>221</v>
      </c>
      <c r="K71" s="777" t="s">
        <v>219</v>
      </c>
      <c r="L71" s="779" t="s">
        <v>187</v>
      </c>
    </row>
    <row r="72" spans="2:13" ht="13.5" customHeight="1">
      <c r="C72" s="747"/>
      <c r="D72" s="751"/>
      <c r="E72" s="755"/>
      <c r="F72" s="761" t="s">
        <v>126</v>
      </c>
      <c r="G72" s="765" t="s">
        <v>217</v>
      </c>
      <c r="H72" s="750" t="s">
        <v>31</v>
      </c>
      <c r="I72" s="769"/>
      <c r="J72" s="774"/>
      <c r="K72" s="745"/>
      <c r="L72" s="780"/>
    </row>
    <row r="73" spans="2:13" s="743" customFormat="1" ht="67.5" customHeight="1">
      <c r="C73" s="748"/>
      <c r="D73" s="752"/>
      <c r="E73" s="756"/>
      <c r="F73" s="762"/>
      <c r="G73" s="766"/>
      <c r="H73" s="766"/>
      <c r="I73" s="770"/>
      <c r="J73" s="775"/>
      <c r="K73" s="778"/>
      <c r="L73" s="781"/>
    </row>
    <row r="74" spans="2:13" ht="27" customHeight="1">
      <c r="C74" s="749">
        <f>細目諸様式!E12</f>
        <v>378000</v>
      </c>
      <c r="D74" s="753">
        <f>細目諸様式!F12</f>
        <v>2000</v>
      </c>
      <c r="E74" s="757">
        <f>細目諸様式!G12</f>
        <v>380000</v>
      </c>
      <c r="F74" s="763">
        <f>細目諸様式!H12</f>
        <v>666667</v>
      </c>
      <c r="G74" s="753">
        <f>細目諸様式!I12</f>
        <v>0</v>
      </c>
      <c r="H74" s="753">
        <f>細目諸様式!J12</f>
        <v>658333</v>
      </c>
      <c r="I74" s="753">
        <f>細目諸様式!K12</f>
        <v>8334</v>
      </c>
      <c r="J74" s="753">
        <f>細目諸様式!L12</f>
        <v>201200</v>
      </c>
      <c r="K74" s="757">
        <f>細目諸様式!M12</f>
        <v>209534</v>
      </c>
      <c r="L74" s="782">
        <f>細目諸様式!N12</f>
        <v>170466</v>
      </c>
    </row>
    <row r="76" spans="2:13">
      <c r="C76" s="742" t="s">
        <v>215</v>
      </c>
    </row>
    <row r="77" spans="2:13">
      <c r="B77" s="744"/>
      <c r="C77" s="744"/>
      <c r="D77" s="744"/>
      <c r="E77" s="744"/>
      <c r="F77" s="744"/>
      <c r="G77" s="744"/>
      <c r="H77" s="744"/>
      <c r="I77" s="744"/>
      <c r="J77" s="744"/>
      <c r="K77" s="744"/>
      <c r="L77" s="744"/>
      <c r="M77" s="784"/>
    </row>
    <row r="78" spans="2:13" ht="17.25">
      <c r="B78" s="55"/>
      <c r="C78" s="745"/>
      <c r="E78" s="8" t="str">
        <f>$E$1</f>
        <v>令和６年中の</v>
      </c>
      <c r="F78" s="759" t="s">
        <v>65</v>
      </c>
    </row>
    <row r="79" spans="2:13" ht="25.5" customHeight="1">
      <c r="J79" s="771" t="s">
        <v>212</v>
      </c>
      <c r="K79" s="776" t="str">
        <f>細目諸様式!O13</f>
        <v>邑南集落</v>
      </c>
      <c r="L79" s="771"/>
    </row>
    <row r="80" spans="2:13" ht="25.5" customHeight="1">
      <c r="J80" s="772" t="s">
        <v>214</v>
      </c>
      <c r="K80" s="764" t="str">
        <f>細目諸様式!B13</f>
        <v>井原六郎</v>
      </c>
      <c r="L80" s="763"/>
    </row>
    <row r="82" spans="2:13" ht="13.5" customHeight="1">
      <c r="C82" s="746" t="s">
        <v>216</v>
      </c>
      <c r="D82" s="750" t="s">
        <v>128</v>
      </c>
      <c r="E82" s="754" t="s">
        <v>220</v>
      </c>
      <c r="F82" s="760" t="s">
        <v>205</v>
      </c>
      <c r="G82" s="760"/>
      <c r="H82" s="767"/>
      <c r="I82" s="768" t="s">
        <v>35</v>
      </c>
      <c r="J82" s="773" t="s">
        <v>221</v>
      </c>
      <c r="K82" s="777" t="s">
        <v>219</v>
      </c>
      <c r="L82" s="779" t="s">
        <v>187</v>
      </c>
    </row>
    <row r="83" spans="2:13" ht="13.5" customHeight="1">
      <c r="C83" s="747"/>
      <c r="D83" s="751"/>
      <c r="E83" s="755"/>
      <c r="F83" s="761" t="s">
        <v>126</v>
      </c>
      <c r="G83" s="765" t="s">
        <v>217</v>
      </c>
      <c r="H83" s="750" t="s">
        <v>31</v>
      </c>
      <c r="I83" s="769"/>
      <c r="J83" s="774"/>
      <c r="K83" s="745"/>
      <c r="L83" s="780"/>
    </row>
    <row r="84" spans="2:13" s="743" customFormat="1" ht="67.5" customHeight="1">
      <c r="C84" s="748"/>
      <c r="D84" s="752"/>
      <c r="E84" s="756"/>
      <c r="F84" s="762"/>
      <c r="G84" s="766"/>
      <c r="H84" s="766"/>
      <c r="I84" s="770"/>
      <c r="J84" s="775"/>
      <c r="K84" s="778"/>
      <c r="L84" s="781"/>
    </row>
    <row r="85" spans="2:13" ht="27" customHeight="1">
      <c r="C85" s="749">
        <f>細目諸様式!E13</f>
        <v>378000</v>
      </c>
      <c r="D85" s="753">
        <f>細目諸様式!F13</f>
        <v>4000</v>
      </c>
      <c r="E85" s="757">
        <f>細目諸様式!G13</f>
        <v>382000</v>
      </c>
      <c r="F85" s="763">
        <f>細目諸様式!H13</f>
        <v>666667</v>
      </c>
      <c r="G85" s="753">
        <f>細目諸様式!I13</f>
        <v>0</v>
      </c>
      <c r="H85" s="753">
        <f>細目諸様式!J13</f>
        <v>658333</v>
      </c>
      <c r="I85" s="753">
        <f>細目諸様式!K13</f>
        <v>8334</v>
      </c>
      <c r="J85" s="753">
        <f>細目諸様式!L13</f>
        <v>201200</v>
      </c>
      <c r="K85" s="757">
        <f>細目諸様式!M13</f>
        <v>209534</v>
      </c>
      <c r="L85" s="782">
        <f>細目諸様式!N13</f>
        <v>172466</v>
      </c>
    </row>
    <row r="87" spans="2:13">
      <c r="C87" s="742" t="s">
        <v>215</v>
      </c>
    </row>
    <row r="88" spans="2:13">
      <c r="B88" s="744"/>
      <c r="C88" s="744"/>
      <c r="D88" s="744"/>
      <c r="E88" s="744"/>
      <c r="F88" s="744"/>
      <c r="G88" s="744"/>
      <c r="H88" s="744"/>
      <c r="I88" s="744"/>
      <c r="J88" s="744"/>
      <c r="K88" s="744"/>
      <c r="L88" s="744"/>
      <c r="M88" s="784"/>
    </row>
    <row r="89" spans="2:13" ht="17.25">
      <c r="B89" s="55"/>
      <c r="C89" s="745"/>
      <c r="E89" s="8" t="str">
        <f>$E$1</f>
        <v>令和６年中の</v>
      </c>
      <c r="F89" s="759" t="s">
        <v>65</v>
      </c>
    </row>
    <row r="90" spans="2:13" ht="25.5" customHeight="1">
      <c r="J90" s="771" t="s">
        <v>212</v>
      </c>
      <c r="K90" s="776" t="str">
        <f>細目諸様式!O14</f>
        <v>邑南集落</v>
      </c>
      <c r="L90" s="771"/>
    </row>
    <row r="91" spans="2:13" ht="25.5" customHeight="1">
      <c r="J91" s="772" t="s">
        <v>214</v>
      </c>
      <c r="K91" s="764" t="str">
        <f>細目諸様式!B14</f>
        <v>中野七郎</v>
      </c>
      <c r="L91" s="763"/>
    </row>
    <row r="93" spans="2:13" ht="13.5" customHeight="1">
      <c r="C93" s="746" t="s">
        <v>216</v>
      </c>
      <c r="D93" s="750" t="s">
        <v>128</v>
      </c>
      <c r="E93" s="754" t="s">
        <v>220</v>
      </c>
      <c r="F93" s="760" t="s">
        <v>205</v>
      </c>
      <c r="G93" s="760"/>
      <c r="H93" s="767"/>
      <c r="I93" s="768" t="s">
        <v>35</v>
      </c>
      <c r="J93" s="773" t="s">
        <v>221</v>
      </c>
      <c r="K93" s="777" t="s">
        <v>219</v>
      </c>
      <c r="L93" s="779" t="s">
        <v>187</v>
      </c>
    </row>
    <row r="94" spans="2:13" ht="13.5" customHeight="1">
      <c r="C94" s="747"/>
      <c r="D94" s="751"/>
      <c r="E94" s="755"/>
      <c r="F94" s="761" t="s">
        <v>126</v>
      </c>
      <c r="G94" s="765" t="s">
        <v>217</v>
      </c>
      <c r="H94" s="750" t="s">
        <v>31</v>
      </c>
      <c r="I94" s="769"/>
      <c r="J94" s="774"/>
      <c r="K94" s="745"/>
      <c r="L94" s="780"/>
    </row>
    <row r="95" spans="2:13" s="743" customFormat="1" ht="67.5" customHeight="1">
      <c r="C95" s="748"/>
      <c r="D95" s="752"/>
      <c r="E95" s="756"/>
      <c r="F95" s="762"/>
      <c r="G95" s="766"/>
      <c r="H95" s="766"/>
      <c r="I95" s="770"/>
      <c r="J95" s="775"/>
      <c r="K95" s="778"/>
      <c r="L95" s="781"/>
    </row>
    <row r="96" spans="2:13" ht="27" customHeight="1">
      <c r="C96" s="749">
        <f>細目諸様式!E14</f>
        <v>378000</v>
      </c>
      <c r="D96" s="753">
        <f>細目諸様式!F14</f>
        <v>3000</v>
      </c>
      <c r="E96" s="757">
        <f>細目諸様式!G14</f>
        <v>381000</v>
      </c>
      <c r="F96" s="763">
        <f>細目諸様式!H14</f>
        <v>666666</v>
      </c>
      <c r="G96" s="753">
        <f>細目諸様式!I14</f>
        <v>0</v>
      </c>
      <c r="H96" s="753">
        <f>細目諸様式!J14</f>
        <v>658334</v>
      </c>
      <c r="I96" s="753">
        <f>細目諸様式!K14</f>
        <v>8332</v>
      </c>
      <c r="J96" s="753">
        <f>細目諸様式!L14</f>
        <v>201200</v>
      </c>
      <c r="K96" s="757">
        <f>細目諸様式!M14</f>
        <v>209532</v>
      </c>
      <c r="L96" s="782">
        <f>細目諸様式!N14</f>
        <v>171468</v>
      </c>
    </row>
    <row r="98" spans="2:13">
      <c r="C98" s="742" t="s">
        <v>215</v>
      </c>
    </row>
    <row r="99" spans="2:13">
      <c r="B99" s="744"/>
      <c r="C99" s="744"/>
      <c r="D99" s="744"/>
      <c r="E99" s="744"/>
      <c r="F99" s="744"/>
      <c r="G99" s="744"/>
      <c r="H99" s="744"/>
      <c r="I99" s="744"/>
      <c r="J99" s="744"/>
      <c r="K99" s="744"/>
      <c r="L99" s="744"/>
      <c r="M99" s="784"/>
    </row>
    <row r="100" spans="2:13" ht="17.25">
      <c r="B100" s="55"/>
      <c r="C100" s="745"/>
      <c r="E100" s="8" t="str">
        <f>$E$1</f>
        <v>令和６年中の</v>
      </c>
      <c r="F100" s="759" t="s">
        <v>65</v>
      </c>
    </row>
    <row r="101" spans="2:13" ht="25.5" customHeight="1">
      <c r="J101" s="771" t="s">
        <v>212</v>
      </c>
      <c r="K101" s="776" t="str">
        <f>細目諸様式!O15</f>
        <v>邑南集落</v>
      </c>
      <c r="L101" s="771"/>
    </row>
    <row r="102" spans="2:13" ht="25.5" customHeight="1">
      <c r="J102" s="772" t="s">
        <v>214</v>
      </c>
      <c r="K102" s="764" t="str">
        <f>細目諸様式!B15</f>
        <v>矢上八郎</v>
      </c>
      <c r="L102" s="763"/>
    </row>
    <row r="104" spans="2:13">
      <c r="C104" s="746" t="s">
        <v>216</v>
      </c>
      <c r="D104" s="750" t="s">
        <v>128</v>
      </c>
      <c r="E104" s="754" t="s">
        <v>220</v>
      </c>
      <c r="F104" s="760" t="s">
        <v>205</v>
      </c>
      <c r="G104" s="760"/>
      <c r="H104" s="767"/>
      <c r="I104" s="768" t="s">
        <v>35</v>
      </c>
      <c r="J104" s="773" t="s">
        <v>221</v>
      </c>
      <c r="K104" s="777" t="s">
        <v>219</v>
      </c>
      <c r="L104" s="779" t="s">
        <v>187</v>
      </c>
    </row>
    <row r="105" spans="2:13" ht="13.5" customHeight="1">
      <c r="C105" s="747"/>
      <c r="D105" s="751"/>
      <c r="E105" s="755"/>
      <c r="F105" s="761" t="s">
        <v>126</v>
      </c>
      <c r="G105" s="765" t="s">
        <v>217</v>
      </c>
      <c r="H105" s="750" t="s">
        <v>31</v>
      </c>
      <c r="I105" s="769"/>
      <c r="J105" s="774"/>
      <c r="K105" s="745"/>
      <c r="L105" s="780"/>
    </row>
    <row r="106" spans="2:13" s="743" customFormat="1" ht="67.5" customHeight="1">
      <c r="C106" s="748"/>
      <c r="D106" s="752"/>
      <c r="E106" s="756"/>
      <c r="F106" s="762"/>
      <c r="G106" s="766"/>
      <c r="H106" s="766"/>
      <c r="I106" s="770"/>
      <c r="J106" s="775"/>
      <c r="K106" s="778"/>
      <c r="L106" s="781"/>
    </row>
    <row r="107" spans="2:13" ht="27" customHeight="1">
      <c r="C107" s="749">
        <f>細目諸様式!E15</f>
        <v>378000</v>
      </c>
      <c r="D107" s="753">
        <f>細目諸様式!F15</f>
        <v>3000</v>
      </c>
      <c r="E107" s="757">
        <f>細目諸様式!G15</f>
        <v>381000</v>
      </c>
      <c r="F107" s="763">
        <f>細目諸様式!H15</f>
        <v>666666</v>
      </c>
      <c r="G107" s="753">
        <f>細目諸様式!I15</f>
        <v>0</v>
      </c>
      <c r="H107" s="753">
        <f>細目諸様式!J15</f>
        <v>658334</v>
      </c>
      <c r="I107" s="753">
        <f>細目諸様式!K15</f>
        <v>8332</v>
      </c>
      <c r="J107" s="753">
        <f>細目諸様式!L15</f>
        <v>201200</v>
      </c>
      <c r="K107" s="757">
        <f>細目諸様式!M15</f>
        <v>209532</v>
      </c>
      <c r="L107" s="782">
        <f>細目諸様式!N15</f>
        <v>171468</v>
      </c>
    </row>
    <row r="109" spans="2:13">
      <c r="C109" s="742" t="s">
        <v>215</v>
      </c>
    </row>
    <row r="110" spans="2:13">
      <c r="B110" s="744"/>
      <c r="C110" s="744"/>
      <c r="D110" s="744"/>
      <c r="E110" s="744"/>
      <c r="F110" s="744"/>
      <c r="G110" s="744"/>
      <c r="H110" s="744"/>
      <c r="I110" s="744"/>
      <c r="J110" s="744"/>
      <c r="K110" s="744"/>
      <c r="L110" s="744"/>
      <c r="M110" s="784"/>
    </row>
    <row r="111" spans="2:13" ht="17.25">
      <c r="B111" s="55"/>
      <c r="C111" s="745"/>
      <c r="E111" s="8" t="str">
        <f>$E$1</f>
        <v>令和６年中の</v>
      </c>
      <c r="F111" s="759" t="s">
        <v>65</v>
      </c>
    </row>
    <row r="112" spans="2:13" ht="25.5" customHeight="1">
      <c r="J112" s="771" t="s">
        <v>212</v>
      </c>
      <c r="K112" s="776" t="str">
        <f>細目諸様式!O16</f>
        <v>邑南集落</v>
      </c>
      <c r="L112" s="771"/>
    </row>
    <row r="113" spans="2:13" ht="25.5" customHeight="1">
      <c r="J113" s="772" t="s">
        <v>214</v>
      </c>
      <c r="K113" s="764" t="str">
        <f>細目諸様式!B16</f>
        <v>日和九郎</v>
      </c>
      <c r="L113" s="763"/>
    </row>
    <row r="115" spans="2:13">
      <c r="C115" s="746" t="s">
        <v>216</v>
      </c>
      <c r="D115" s="750" t="s">
        <v>128</v>
      </c>
      <c r="E115" s="754" t="s">
        <v>220</v>
      </c>
      <c r="F115" s="760" t="s">
        <v>205</v>
      </c>
      <c r="G115" s="760"/>
      <c r="H115" s="767"/>
      <c r="I115" s="768" t="s">
        <v>35</v>
      </c>
      <c r="J115" s="773" t="s">
        <v>221</v>
      </c>
      <c r="K115" s="777" t="s">
        <v>219</v>
      </c>
      <c r="L115" s="779" t="s">
        <v>187</v>
      </c>
    </row>
    <row r="116" spans="2:13" ht="13.5" customHeight="1">
      <c r="C116" s="747"/>
      <c r="D116" s="751"/>
      <c r="E116" s="755"/>
      <c r="F116" s="761" t="s">
        <v>126</v>
      </c>
      <c r="G116" s="765" t="s">
        <v>217</v>
      </c>
      <c r="H116" s="750" t="s">
        <v>31</v>
      </c>
      <c r="I116" s="769"/>
      <c r="J116" s="774"/>
      <c r="K116" s="745"/>
      <c r="L116" s="780"/>
    </row>
    <row r="117" spans="2:13" s="743" customFormat="1" ht="67.5" customHeight="1">
      <c r="C117" s="748"/>
      <c r="D117" s="752"/>
      <c r="E117" s="756"/>
      <c r="F117" s="762"/>
      <c r="G117" s="766"/>
      <c r="H117" s="766"/>
      <c r="I117" s="770"/>
      <c r="J117" s="775"/>
      <c r="K117" s="778"/>
      <c r="L117" s="781"/>
    </row>
    <row r="118" spans="2:13" ht="27" customHeight="1">
      <c r="C118" s="749">
        <f>細目諸様式!E16</f>
        <v>420000</v>
      </c>
      <c r="D118" s="749">
        <f>細目諸様式!F16</f>
        <v>1000</v>
      </c>
      <c r="E118" s="757">
        <f>細目諸様式!G16</f>
        <v>421000</v>
      </c>
      <c r="F118" s="763">
        <f>細目諸様式!H16</f>
        <v>666666</v>
      </c>
      <c r="G118" s="753">
        <f>細目諸様式!I16</f>
        <v>0</v>
      </c>
      <c r="H118" s="753">
        <f>細目諸様式!J16</f>
        <v>658334</v>
      </c>
      <c r="I118" s="753">
        <f>細目諸様式!K16</f>
        <v>8332</v>
      </c>
      <c r="J118" s="753">
        <f>細目諸様式!L16</f>
        <v>201200</v>
      </c>
      <c r="K118" s="757">
        <f>細目諸様式!M16</f>
        <v>209532</v>
      </c>
      <c r="L118" s="782">
        <f>細目諸様式!N16</f>
        <v>211468</v>
      </c>
    </row>
    <row r="120" spans="2:13">
      <c r="C120" s="742" t="s">
        <v>215</v>
      </c>
    </row>
    <row r="121" spans="2:13">
      <c r="B121" s="744"/>
      <c r="C121" s="744"/>
      <c r="D121" s="744"/>
      <c r="E121" s="744"/>
      <c r="F121" s="744"/>
      <c r="G121" s="744"/>
      <c r="H121" s="744"/>
      <c r="I121" s="744"/>
      <c r="J121" s="744"/>
      <c r="K121" s="744"/>
      <c r="L121" s="744"/>
      <c r="M121" s="784"/>
    </row>
    <row r="122" spans="2:13" ht="17.25">
      <c r="B122" s="55"/>
      <c r="C122" s="745"/>
      <c r="E122" s="8" t="str">
        <f>$E$1</f>
        <v>令和６年中の</v>
      </c>
      <c r="F122" s="759" t="s">
        <v>65</v>
      </c>
    </row>
    <row r="123" spans="2:13" ht="25.5" customHeight="1">
      <c r="J123" s="771" t="s">
        <v>212</v>
      </c>
      <c r="K123" s="776" t="str">
        <f>細目諸様式!O17</f>
        <v>邑南集落</v>
      </c>
      <c r="L123" s="771"/>
    </row>
    <row r="124" spans="2:13" ht="25.5" customHeight="1">
      <c r="J124" s="772" t="s">
        <v>214</v>
      </c>
      <c r="K124" s="764" t="str">
        <f>細目諸様式!B17</f>
        <v>日貫十兵衛</v>
      </c>
      <c r="L124" s="763"/>
    </row>
    <row r="126" spans="2:13">
      <c r="C126" s="746" t="s">
        <v>216</v>
      </c>
      <c r="D126" s="750" t="s">
        <v>128</v>
      </c>
      <c r="E126" s="754" t="s">
        <v>220</v>
      </c>
      <c r="F126" s="760" t="s">
        <v>205</v>
      </c>
      <c r="G126" s="760"/>
      <c r="H126" s="767"/>
      <c r="I126" s="768" t="s">
        <v>35</v>
      </c>
      <c r="J126" s="773" t="s">
        <v>221</v>
      </c>
      <c r="K126" s="777" t="s">
        <v>219</v>
      </c>
      <c r="L126" s="779" t="s">
        <v>187</v>
      </c>
    </row>
    <row r="127" spans="2:13" ht="13.5" customHeight="1">
      <c r="C127" s="747"/>
      <c r="D127" s="751"/>
      <c r="E127" s="755"/>
      <c r="F127" s="761" t="s">
        <v>126</v>
      </c>
      <c r="G127" s="765" t="s">
        <v>217</v>
      </c>
      <c r="H127" s="750" t="s">
        <v>31</v>
      </c>
      <c r="I127" s="769"/>
      <c r="J127" s="774"/>
      <c r="K127" s="745"/>
      <c r="L127" s="780"/>
    </row>
    <row r="128" spans="2:13" s="743" customFormat="1" ht="67.5" customHeight="1">
      <c r="C128" s="748"/>
      <c r="D128" s="752"/>
      <c r="E128" s="756"/>
      <c r="F128" s="762"/>
      <c r="G128" s="766"/>
      <c r="H128" s="766"/>
      <c r="I128" s="770"/>
      <c r="J128" s="775"/>
      <c r="K128" s="778"/>
      <c r="L128" s="781"/>
    </row>
    <row r="129" spans="2:13" ht="27" customHeight="1">
      <c r="C129" s="749">
        <f>細目諸様式!E17</f>
        <v>420000</v>
      </c>
      <c r="D129" s="753">
        <f>細目諸様式!F17</f>
        <v>3000</v>
      </c>
      <c r="E129" s="757">
        <f>細目諸様式!G17</f>
        <v>423000</v>
      </c>
      <c r="F129" s="763">
        <f>細目諸様式!H17</f>
        <v>666666</v>
      </c>
      <c r="G129" s="753">
        <f>細目諸様式!I17</f>
        <v>0</v>
      </c>
      <c r="H129" s="753">
        <f>細目諸様式!J17</f>
        <v>658334</v>
      </c>
      <c r="I129" s="753">
        <f>細目諸様式!K17</f>
        <v>8332</v>
      </c>
      <c r="J129" s="753">
        <f>細目諸様式!L17</f>
        <v>201200</v>
      </c>
      <c r="K129" s="757">
        <f>細目諸様式!M17</f>
        <v>209532</v>
      </c>
      <c r="L129" s="782">
        <f>細目諸様式!N17</f>
        <v>213468</v>
      </c>
    </row>
    <row r="131" spans="2:13">
      <c r="C131" s="742" t="s">
        <v>215</v>
      </c>
    </row>
    <row r="132" spans="2:13">
      <c r="B132" s="744"/>
      <c r="C132" s="744"/>
      <c r="D132" s="744"/>
      <c r="E132" s="744"/>
      <c r="F132" s="744"/>
      <c r="G132" s="744"/>
      <c r="H132" s="744"/>
      <c r="I132" s="744"/>
      <c r="J132" s="744"/>
      <c r="K132" s="744"/>
      <c r="L132" s="744"/>
      <c r="M132" s="784"/>
    </row>
    <row r="133" spans="2:13" ht="17.25">
      <c r="B133" s="55"/>
      <c r="C133" s="745"/>
      <c r="E133" s="8" t="str">
        <f>$E$1</f>
        <v>令和６年中の</v>
      </c>
      <c r="F133" s="759" t="s">
        <v>65</v>
      </c>
    </row>
    <row r="134" spans="2:13" ht="25.5" customHeight="1">
      <c r="J134" s="771" t="s">
        <v>212</v>
      </c>
      <c r="K134" s="776">
        <f>細目諸様式!O18</f>
        <v>0</v>
      </c>
      <c r="L134" s="771"/>
    </row>
    <row r="135" spans="2:13" ht="25.5" customHeight="1">
      <c r="J135" s="772" t="s">
        <v>214</v>
      </c>
      <c r="K135" s="764">
        <f>細目諸様式!B18</f>
        <v>0</v>
      </c>
      <c r="L135" s="763"/>
    </row>
    <row r="137" spans="2:13" ht="13.5" customHeight="1">
      <c r="C137" s="746" t="s">
        <v>216</v>
      </c>
      <c r="D137" s="750" t="s">
        <v>128</v>
      </c>
      <c r="E137" s="754" t="s">
        <v>220</v>
      </c>
      <c r="F137" s="760" t="s">
        <v>205</v>
      </c>
      <c r="G137" s="760"/>
      <c r="H137" s="767"/>
      <c r="I137" s="768" t="s">
        <v>35</v>
      </c>
      <c r="J137" s="773" t="s">
        <v>221</v>
      </c>
      <c r="K137" s="777" t="s">
        <v>219</v>
      </c>
      <c r="L137" s="779" t="s">
        <v>187</v>
      </c>
    </row>
    <row r="138" spans="2:13" ht="13.5" customHeight="1">
      <c r="C138" s="747"/>
      <c r="D138" s="751"/>
      <c r="E138" s="755"/>
      <c r="F138" s="761" t="s">
        <v>126</v>
      </c>
      <c r="G138" s="765" t="s">
        <v>217</v>
      </c>
      <c r="H138" s="750" t="s">
        <v>31</v>
      </c>
      <c r="I138" s="769"/>
      <c r="J138" s="774"/>
      <c r="K138" s="745"/>
      <c r="L138" s="780"/>
    </row>
    <row r="139" spans="2:13" s="743" customFormat="1" ht="67.5" customHeight="1">
      <c r="C139" s="748"/>
      <c r="D139" s="752"/>
      <c r="E139" s="756"/>
      <c r="F139" s="762"/>
      <c r="G139" s="766"/>
      <c r="H139" s="766"/>
      <c r="I139" s="770"/>
      <c r="J139" s="775"/>
      <c r="K139" s="778"/>
      <c r="L139" s="781"/>
    </row>
    <row r="140" spans="2:13" ht="27" customHeight="1">
      <c r="C140" s="749" t="str">
        <f>細目諸様式!E18</f>
        <v/>
      </c>
      <c r="D140" s="753">
        <f>細目諸様式!F18</f>
        <v>0</v>
      </c>
      <c r="E140" s="757" t="str">
        <f>細目諸様式!G18</f>
        <v/>
      </c>
      <c r="F140" s="763" t="str">
        <f>細目諸様式!H18</f>
        <v/>
      </c>
      <c r="G140" s="753">
        <f>細目諸様式!I18</f>
        <v>0</v>
      </c>
      <c r="H140" s="753">
        <f>細目諸様式!J18</f>
        <v>0</v>
      </c>
      <c r="I140" s="753" t="str">
        <f>細目諸様式!K18</f>
        <v/>
      </c>
      <c r="J140" s="753">
        <f>細目諸様式!L18</f>
        <v>0</v>
      </c>
      <c r="K140" s="757" t="str">
        <f>細目諸様式!M18</f>
        <v/>
      </c>
      <c r="L140" s="782" t="str">
        <f>細目諸様式!N18</f>
        <v/>
      </c>
    </row>
    <row r="142" spans="2:13">
      <c r="C142" s="742" t="s">
        <v>215</v>
      </c>
    </row>
    <row r="143" spans="2:13">
      <c r="B143" s="744"/>
      <c r="C143" s="744"/>
      <c r="D143" s="744"/>
      <c r="E143" s="744"/>
      <c r="F143" s="744"/>
      <c r="G143" s="744"/>
      <c r="H143" s="744"/>
      <c r="I143" s="744"/>
      <c r="J143" s="744"/>
      <c r="K143" s="744"/>
      <c r="L143" s="744"/>
      <c r="M143" s="784"/>
    </row>
    <row r="144" spans="2:13" ht="17.25">
      <c r="B144" s="55"/>
      <c r="C144" s="745"/>
      <c r="E144" s="8" t="str">
        <f>$E$1</f>
        <v>令和６年中の</v>
      </c>
      <c r="F144" s="759" t="s">
        <v>65</v>
      </c>
    </row>
    <row r="145" spans="2:13" ht="25.5" customHeight="1">
      <c r="J145" s="771" t="s">
        <v>212</v>
      </c>
      <c r="K145" s="776">
        <f>細目諸様式!O19</f>
        <v>0</v>
      </c>
      <c r="L145" s="771"/>
    </row>
    <row r="146" spans="2:13" ht="25.5" customHeight="1">
      <c r="J146" s="772" t="s">
        <v>214</v>
      </c>
      <c r="K146" s="764">
        <f>細目諸様式!B19</f>
        <v>0</v>
      </c>
      <c r="L146" s="763"/>
    </row>
    <row r="148" spans="2:13" ht="13.5" customHeight="1">
      <c r="C148" s="746" t="s">
        <v>216</v>
      </c>
      <c r="D148" s="750" t="s">
        <v>128</v>
      </c>
      <c r="E148" s="754" t="s">
        <v>220</v>
      </c>
      <c r="F148" s="760" t="s">
        <v>205</v>
      </c>
      <c r="G148" s="760"/>
      <c r="H148" s="767"/>
      <c r="I148" s="768" t="s">
        <v>35</v>
      </c>
      <c r="J148" s="773" t="s">
        <v>221</v>
      </c>
      <c r="K148" s="777" t="s">
        <v>219</v>
      </c>
      <c r="L148" s="779" t="s">
        <v>187</v>
      </c>
    </row>
    <row r="149" spans="2:13" ht="13.5" customHeight="1">
      <c r="C149" s="747"/>
      <c r="D149" s="751"/>
      <c r="E149" s="755"/>
      <c r="F149" s="761" t="s">
        <v>126</v>
      </c>
      <c r="G149" s="765" t="s">
        <v>217</v>
      </c>
      <c r="H149" s="750" t="s">
        <v>31</v>
      </c>
      <c r="I149" s="769"/>
      <c r="J149" s="774"/>
      <c r="K149" s="745"/>
      <c r="L149" s="780"/>
    </row>
    <row r="150" spans="2:13" s="743" customFormat="1" ht="67.5" customHeight="1">
      <c r="C150" s="748"/>
      <c r="D150" s="752"/>
      <c r="E150" s="756"/>
      <c r="F150" s="762"/>
      <c r="G150" s="766"/>
      <c r="H150" s="766"/>
      <c r="I150" s="770"/>
      <c r="J150" s="775"/>
      <c r="K150" s="778"/>
      <c r="L150" s="781"/>
    </row>
    <row r="151" spans="2:13" ht="27" customHeight="1">
      <c r="C151" s="749" t="str">
        <f>細目諸様式!E19</f>
        <v/>
      </c>
      <c r="D151" s="753">
        <f>細目諸様式!F19</f>
        <v>0</v>
      </c>
      <c r="E151" s="757" t="str">
        <f>細目諸様式!G19</f>
        <v/>
      </c>
      <c r="F151" s="763" t="str">
        <f>細目諸様式!H19</f>
        <v/>
      </c>
      <c r="G151" s="753">
        <f>細目諸様式!I19</f>
        <v>0</v>
      </c>
      <c r="H151" s="753">
        <f>細目諸様式!J19</f>
        <v>0</v>
      </c>
      <c r="I151" s="753" t="str">
        <f>細目諸様式!K19</f>
        <v/>
      </c>
      <c r="J151" s="753">
        <f>細目諸様式!L19</f>
        <v>0</v>
      </c>
      <c r="K151" s="757" t="str">
        <f>細目諸様式!M19</f>
        <v/>
      </c>
      <c r="L151" s="782" t="str">
        <f>細目諸様式!N19</f>
        <v/>
      </c>
    </row>
    <row r="153" spans="2:13">
      <c r="C153" s="742" t="s">
        <v>215</v>
      </c>
    </row>
    <row r="154" spans="2:13">
      <c r="B154" s="744"/>
      <c r="C154" s="744"/>
      <c r="D154" s="744"/>
      <c r="E154" s="744"/>
      <c r="F154" s="744"/>
      <c r="G154" s="744"/>
      <c r="H154" s="744"/>
      <c r="I154" s="744"/>
      <c r="J154" s="744"/>
      <c r="K154" s="744"/>
      <c r="L154" s="744"/>
      <c r="M154" s="784"/>
    </row>
    <row r="155" spans="2:13" ht="17.25">
      <c r="B155" s="55"/>
      <c r="C155" s="745"/>
      <c r="E155" s="8" t="str">
        <f>$E$1</f>
        <v>令和６年中の</v>
      </c>
      <c r="F155" s="759" t="s">
        <v>65</v>
      </c>
    </row>
    <row r="156" spans="2:13" ht="25.5" customHeight="1">
      <c r="J156" s="771" t="s">
        <v>212</v>
      </c>
      <c r="K156" s="776">
        <f>細目諸様式!O20</f>
        <v>0</v>
      </c>
      <c r="L156" s="771"/>
    </row>
    <row r="157" spans="2:13" ht="25.5" customHeight="1">
      <c r="J157" s="772" t="s">
        <v>214</v>
      </c>
      <c r="K157" s="764">
        <f>細目諸様式!B20</f>
        <v>0</v>
      </c>
      <c r="L157" s="763"/>
    </row>
    <row r="159" spans="2:13">
      <c r="C159" s="746" t="s">
        <v>216</v>
      </c>
      <c r="D159" s="750" t="s">
        <v>128</v>
      </c>
      <c r="E159" s="754" t="s">
        <v>220</v>
      </c>
      <c r="F159" s="760" t="s">
        <v>205</v>
      </c>
      <c r="G159" s="760"/>
      <c r="H159" s="767"/>
      <c r="I159" s="768" t="s">
        <v>35</v>
      </c>
      <c r="J159" s="773" t="s">
        <v>221</v>
      </c>
      <c r="K159" s="777" t="s">
        <v>219</v>
      </c>
      <c r="L159" s="779" t="s">
        <v>187</v>
      </c>
    </row>
    <row r="160" spans="2:13" ht="13.5" customHeight="1">
      <c r="C160" s="747"/>
      <c r="D160" s="751"/>
      <c r="E160" s="755"/>
      <c r="F160" s="761" t="s">
        <v>126</v>
      </c>
      <c r="G160" s="765" t="s">
        <v>217</v>
      </c>
      <c r="H160" s="750" t="s">
        <v>31</v>
      </c>
      <c r="I160" s="769"/>
      <c r="J160" s="774"/>
      <c r="K160" s="745"/>
      <c r="L160" s="780"/>
    </row>
    <row r="161" spans="2:13" s="743" customFormat="1" ht="67.5" customHeight="1">
      <c r="C161" s="748"/>
      <c r="D161" s="752"/>
      <c r="E161" s="756"/>
      <c r="F161" s="762"/>
      <c r="G161" s="766"/>
      <c r="H161" s="766"/>
      <c r="I161" s="770"/>
      <c r="J161" s="775"/>
      <c r="K161" s="778"/>
      <c r="L161" s="781"/>
    </row>
    <row r="162" spans="2:13" ht="27" customHeight="1">
      <c r="C162" s="749" t="str">
        <f>細目諸様式!E20</f>
        <v/>
      </c>
      <c r="D162" s="753">
        <f>細目諸様式!F20</f>
        <v>0</v>
      </c>
      <c r="E162" s="757" t="str">
        <f>細目諸様式!G20</f>
        <v/>
      </c>
      <c r="F162" s="763" t="str">
        <f>細目諸様式!H20</f>
        <v/>
      </c>
      <c r="G162" s="753">
        <f>細目諸様式!I20</f>
        <v>0</v>
      </c>
      <c r="H162" s="753">
        <f>細目諸様式!J20</f>
        <v>0</v>
      </c>
      <c r="I162" s="753" t="str">
        <f>細目諸様式!K20</f>
        <v/>
      </c>
      <c r="J162" s="753">
        <f>細目諸様式!L20</f>
        <v>0</v>
      </c>
      <c r="K162" s="757" t="str">
        <f>細目諸様式!M20</f>
        <v/>
      </c>
      <c r="L162" s="782" t="str">
        <f>細目諸様式!N20</f>
        <v/>
      </c>
    </row>
    <row r="164" spans="2:13">
      <c r="C164" s="742" t="s">
        <v>215</v>
      </c>
    </row>
    <row r="165" spans="2:13">
      <c r="B165" s="744"/>
      <c r="C165" s="744"/>
      <c r="D165" s="744"/>
      <c r="E165" s="744"/>
      <c r="F165" s="744"/>
      <c r="G165" s="744"/>
      <c r="H165" s="744"/>
      <c r="I165" s="744"/>
      <c r="J165" s="744"/>
      <c r="K165" s="744"/>
      <c r="L165" s="744"/>
      <c r="M165" s="784"/>
    </row>
    <row r="166" spans="2:13" ht="17.25">
      <c r="B166" s="55"/>
      <c r="C166" s="745"/>
      <c r="E166" s="8" t="str">
        <f>$E$1</f>
        <v>令和６年中の</v>
      </c>
      <c r="F166" s="759" t="s">
        <v>65</v>
      </c>
    </row>
    <row r="167" spans="2:13" ht="25.5" customHeight="1">
      <c r="J167" s="771" t="s">
        <v>212</v>
      </c>
      <c r="K167" s="776">
        <f>細目諸様式!O21</f>
        <v>0</v>
      </c>
      <c r="L167" s="771"/>
    </row>
    <row r="168" spans="2:13" ht="25.5" customHeight="1">
      <c r="J168" s="772" t="s">
        <v>214</v>
      </c>
      <c r="K168" s="764">
        <f>細目諸様式!B21</f>
        <v>0</v>
      </c>
      <c r="L168" s="763"/>
    </row>
    <row r="170" spans="2:13">
      <c r="C170" s="746" t="s">
        <v>216</v>
      </c>
      <c r="D170" s="750" t="s">
        <v>128</v>
      </c>
      <c r="E170" s="754" t="s">
        <v>220</v>
      </c>
      <c r="F170" s="760" t="s">
        <v>205</v>
      </c>
      <c r="G170" s="760"/>
      <c r="H170" s="767"/>
      <c r="I170" s="768" t="s">
        <v>35</v>
      </c>
      <c r="J170" s="773" t="s">
        <v>221</v>
      </c>
      <c r="K170" s="777" t="s">
        <v>219</v>
      </c>
      <c r="L170" s="779" t="s">
        <v>187</v>
      </c>
    </row>
    <row r="171" spans="2:13" ht="13.5" customHeight="1">
      <c r="C171" s="747"/>
      <c r="D171" s="751"/>
      <c r="E171" s="755"/>
      <c r="F171" s="761" t="s">
        <v>126</v>
      </c>
      <c r="G171" s="765" t="s">
        <v>217</v>
      </c>
      <c r="H171" s="750" t="s">
        <v>31</v>
      </c>
      <c r="I171" s="769"/>
      <c r="J171" s="774"/>
      <c r="K171" s="745"/>
      <c r="L171" s="780"/>
    </row>
    <row r="172" spans="2:13" s="743" customFormat="1" ht="67.5" customHeight="1">
      <c r="C172" s="748"/>
      <c r="D172" s="752"/>
      <c r="E172" s="756"/>
      <c r="F172" s="762"/>
      <c r="G172" s="766"/>
      <c r="H172" s="766"/>
      <c r="I172" s="770"/>
      <c r="J172" s="775"/>
      <c r="K172" s="778"/>
      <c r="L172" s="781"/>
    </row>
    <row r="173" spans="2:13" ht="27" customHeight="1">
      <c r="C173" s="749" t="str">
        <f>細目諸様式!E21</f>
        <v/>
      </c>
      <c r="D173" s="749">
        <f>細目諸様式!F21</f>
        <v>0</v>
      </c>
      <c r="E173" s="757" t="str">
        <f>細目諸様式!G21</f>
        <v/>
      </c>
      <c r="F173" s="763" t="str">
        <f>細目諸様式!H21</f>
        <v/>
      </c>
      <c r="G173" s="753">
        <f>細目諸様式!I21</f>
        <v>0</v>
      </c>
      <c r="H173" s="753">
        <f>細目諸様式!J21</f>
        <v>0</v>
      </c>
      <c r="I173" s="753" t="str">
        <f>細目諸様式!K21</f>
        <v/>
      </c>
      <c r="J173" s="753">
        <f>細目諸様式!L21</f>
        <v>0</v>
      </c>
      <c r="K173" s="757" t="str">
        <f>細目諸様式!M21</f>
        <v/>
      </c>
      <c r="L173" s="782" t="str">
        <f>細目諸様式!N21</f>
        <v/>
      </c>
    </row>
    <row r="175" spans="2:13">
      <c r="C175" s="742" t="s">
        <v>215</v>
      </c>
    </row>
    <row r="176" spans="2:13">
      <c r="B176" s="744"/>
      <c r="C176" s="744"/>
      <c r="D176" s="744"/>
      <c r="E176" s="744"/>
      <c r="F176" s="744"/>
      <c r="G176" s="744"/>
      <c r="H176" s="744"/>
      <c r="I176" s="744"/>
      <c r="J176" s="744"/>
      <c r="K176" s="744"/>
      <c r="L176" s="744"/>
      <c r="M176" s="784"/>
    </row>
    <row r="177" spans="2:13" ht="17.25">
      <c r="B177" s="55"/>
      <c r="C177" s="745"/>
      <c r="E177" s="8" t="str">
        <f>$E$1</f>
        <v>令和６年中の</v>
      </c>
      <c r="F177" s="759" t="s">
        <v>65</v>
      </c>
    </row>
    <row r="178" spans="2:13" ht="25.5" customHeight="1">
      <c r="J178" s="771" t="s">
        <v>212</v>
      </c>
      <c r="K178" s="776">
        <f>細目諸様式!O22</f>
        <v>0</v>
      </c>
      <c r="L178" s="771"/>
    </row>
    <row r="179" spans="2:13" ht="25.5" customHeight="1">
      <c r="J179" s="772" t="s">
        <v>214</v>
      </c>
      <c r="K179" s="764">
        <f>細目諸様式!B22</f>
        <v>0</v>
      </c>
      <c r="L179" s="763"/>
    </row>
    <row r="181" spans="2:13">
      <c r="C181" s="746" t="s">
        <v>216</v>
      </c>
      <c r="D181" s="750" t="s">
        <v>128</v>
      </c>
      <c r="E181" s="754" t="s">
        <v>220</v>
      </c>
      <c r="F181" s="760" t="s">
        <v>205</v>
      </c>
      <c r="G181" s="760"/>
      <c r="H181" s="767"/>
      <c r="I181" s="768" t="s">
        <v>35</v>
      </c>
      <c r="J181" s="773" t="s">
        <v>221</v>
      </c>
      <c r="K181" s="777" t="s">
        <v>219</v>
      </c>
      <c r="L181" s="779" t="s">
        <v>187</v>
      </c>
    </row>
    <row r="182" spans="2:13" ht="13.5" customHeight="1">
      <c r="C182" s="747"/>
      <c r="D182" s="751"/>
      <c r="E182" s="755"/>
      <c r="F182" s="761" t="s">
        <v>126</v>
      </c>
      <c r="G182" s="765" t="s">
        <v>217</v>
      </c>
      <c r="H182" s="750" t="s">
        <v>31</v>
      </c>
      <c r="I182" s="769"/>
      <c r="J182" s="774"/>
      <c r="K182" s="745"/>
      <c r="L182" s="780"/>
    </row>
    <row r="183" spans="2:13" s="743" customFormat="1" ht="67.5" customHeight="1">
      <c r="C183" s="748"/>
      <c r="D183" s="752"/>
      <c r="E183" s="756"/>
      <c r="F183" s="762"/>
      <c r="G183" s="766"/>
      <c r="H183" s="766"/>
      <c r="I183" s="770"/>
      <c r="J183" s="775"/>
      <c r="K183" s="778"/>
      <c r="L183" s="781"/>
    </row>
    <row r="184" spans="2:13" ht="27" customHeight="1">
      <c r="C184" s="749" t="str">
        <f>細目諸様式!E22</f>
        <v/>
      </c>
      <c r="D184" s="753">
        <f>細目諸様式!F22</f>
        <v>0</v>
      </c>
      <c r="E184" s="757" t="str">
        <f>細目諸様式!G22</f>
        <v/>
      </c>
      <c r="F184" s="763" t="str">
        <f>細目諸様式!H22</f>
        <v/>
      </c>
      <c r="G184" s="753">
        <f>細目諸様式!I22</f>
        <v>0</v>
      </c>
      <c r="H184" s="753">
        <f>細目諸様式!J22</f>
        <v>0</v>
      </c>
      <c r="I184" s="753" t="str">
        <f>細目諸様式!K22</f>
        <v/>
      </c>
      <c r="J184" s="753">
        <f>細目諸様式!L22</f>
        <v>0</v>
      </c>
      <c r="K184" s="757" t="str">
        <f>細目諸様式!M22</f>
        <v/>
      </c>
      <c r="L184" s="782" t="str">
        <f>細目諸様式!N22</f>
        <v/>
      </c>
    </row>
    <row r="186" spans="2:13">
      <c r="C186" s="742" t="s">
        <v>215</v>
      </c>
    </row>
    <row r="187" spans="2:13">
      <c r="B187" s="744"/>
      <c r="C187" s="744"/>
      <c r="D187" s="744"/>
      <c r="E187" s="744"/>
      <c r="F187" s="744"/>
      <c r="G187" s="744"/>
      <c r="H187" s="744"/>
      <c r="I187" s="744"/>
      <c r="J187" s="744"/>
      <c r="K187" s="744"/>
      <c r="L187" s="744"/>
      <c r="M187" s="784"/>
    </row>
    <row r="188" spans="2:13" ht="17.25">
      <c r="B188" s="55"/>
      <c r="C188" s="745"/>
      <c r="E188" s="8" t="str">
        <f>$E$1</f>
        <v>令和６年中の</v>
      </c>
      <c r="F188" s="759" t="s">
        <v>65</v>
      </c>
    </row>
    <row r="189" spans="2:13" ht="25.5" customHeight="1">
      <c r="J189" s="771" t="s">
        <v>212</v>
      </c>
      <c r="K189" s="776">
        <f>細目諸様式!O23</f>
        <v>0</v>
      </c>
      <c r="L189" s="771"/>
    </row>
    <row r="190" spans="2:13" ht="25.5" customHeight="1">
      <c r="J190" s="772" t="s">
        <v>214</v>
      </c>
      <c r="K190" s="764">
        <f>細目諸様式!B23</f>
        <v>0</v>
      </c>
      <c r="L190" s="763"/>
    </row>
    <row r="192" spans="2:13" ht="13.5" customHeight="1">
      <c r="C192" s="746" t="s">
        <v>216</v>
      </c>
      <c r="D192" s="750" t="s">
        <v>128</v>
      </c>
      <c r="E192" s="754" t="s">
        <v>220</v>
      </c>
      <c r="F192" s="760" t="s">
        <v>205</v>
      </c>
      <c r="G192" s="760"/>
      <c r="H192" s="767"/>
      <c r="I192" s="768" t="s">
        <v>35</v>
      </c>
      <c r="J192" s="773" t="s">
        <v>221</v>
      </c>
      <c r="K192" s="777" t="s">
        <v>219</v>
      </c>
      <c r="L192" s="779" t="s">
        <v>187</v>
      </c>
    </row>
    <row r="193" spans="2:13" ht="13.5" customHeight="1">
      <c r="C193" s="747"/>
      <c r="D193" s="751"/>
      <c r="E193" s="755"/>
      <c r="F193" s="761" t="s">
        <v>126</v>
      </c>
      <c r="G193" s="765" t="s">
        <v>217</v>
      </c>
      <c r="H193" s="750" t="s">
        <v>31</v>
      </c>
      <c r="I193" s="769"/>
      <c r="J193" s="774"/>
      <c r="K193" s="745"/>
      <c r="L193" s="780"/>
    </row>
    <row r="194" spans="2:13" s="743" customFormat="1" ht="67.5" customHeight="1">
      <c r="C194" s="748"/>
      <c r="D194" s="752"/>
      <c r="E194" s="756"/>
      <c r="F194" s="762"/>
      <c r="G194" s="766"/>
      <c r="H194" s="766"/>
      <c r="I194" s="770"/>
      <c r="J194" s="775"/>
      <c r="K194" s="778"/>
      <c r="L194" s="781"/>
    </row>
    <row r="195" spans="2:13" ht="27" customHeight="1">
      <c r="C195" s="749" t="str">
        <f>細目諸様式!E23</f>
        <v/>
      </c>
      <c r="D195" s="753">
        <f>細目諸様式!F23</f>
        <v>0</v>
      </c>
      <c r="E195" s="757" t="str">
        <f>細目諸様式!G23</f>
        <v/>
      </c>
      <c r="F195" s="763" t="str">
        <f>細目諸様式!H23</f>
        <v/>
      </c>
      <c r="G195" s="753">
        <f>細目諸様式!I23</f>
        <v>0</v>
      </c>
      <c r="H195" s="753">
        <f>細目諸様式!J23</f>
        <v>0</v>
      </c>
      <c r="I195" s="753" t="str">
        <f>細目諸様式!K23</f>
        <v/>
      </c>
      <c r="J195" s="753">
        <f>細目諸様式!L23</f>
        <v>0</v>
      </c>
      <c r="K195" s="757" t="str">
        <f>細目諸様式!M23</f>
        <v/>
      </c>
      <c r="L195" s="782" t="str">
        <f>細目諸様式!N23</f>
        <v/>
      </c>
    </row>
    <row r="197" spans="2:13">
      <c r="C197" s="742" t="s">
        <v>215</v>
      </c>
    </row>
    <row r="198" spans="2:13">
      <c r="B198" s="744"/>
      <c r="C198" s="744"/>
      <c r="D198" s="744"/>
      <c r="E198" s="744"/>
      <c r="F198" s="744"/>
      <c r="G198" s="744"/>
      <c r="H198" s="744"/>
      <c r="I198" s="744"/>
      <c r="J198" s="744"/>
      <c r="K198" s="744"/>
      <c r="L198" s="744"/>
      <c r="M198" s="784"/>
    </row>
    <row r="199" spans="2:13" ht="17.25">
      <c r="B199" s="55"/>
      <c r="C199" s="745"/>
      <c r="E199" s="8" t="str">
        <f>$E$1</f>
        <v>令和６年中の</v>
      </c>
      <c r="F199" s="759" t="s">
        <v>65</v>
      </c>
    </row>
    <row r="200" spans="2:13" ht="25.5" customHeight="1">
      <c r="J200" s="771" t="s">
        <v>212</v>
      </c>
      <c r="K200" s="776">
        <f>細目諸様式!O24</f>
        <v>0</v>
      </c>
      <c r="L200" s="771"/>
    </row>
    <row r="201" spans="2:13" ht="25.5" customHeight="1">
      <c r="J201" s="772" t="s">
        <v>214</v>
      </c>
      <c r="K201" s="764">
        <f>細目諸様式!B24</f>
        <v>0</v>
      </c>
      <c r="L201" s="763"/>
    </row>
    <row r="203" spans="2:13" ht="13.5" customHeight="1">
      <c r="C203" s="746" t="s">
        <v>216</v>
      </c>
      <c r="D203" s="750" t="s">
        <v>128</v>
      </c>
      <c r="E203" s="754" t="s">
        <v>220</v>
      </c>
      <c r="F203" s="760" t="s">
        <v>205</v>
      </c>
      <c r="G203" s="760"/>
      <c r="H203" s="767"/>
      <c r="I203" s="768" t="s">
        <v>35</v>
      </c>
      <c r="J203" s="773" t="s">
        <v>221</v>
      </c>
      <c r="K203" s="777" t="s">
        <v>219</v>
      </c>
      <c r="L203" s="779" t="s">
        <v>187</v>
      </c>
    </row>
    <row r="204" spans="2:13" ht="13.5" customHeight="1">
      <c r="C204" s="747"/>
      <c r="D204" s="751"/>
      <c r="E204" s="755"/>
      <c r="F204" s="761" t="s">
        <v>126</v>
      </c>
      <c r="G204" s="765" t="s">
        <v>217</v>
      </c>
      <c r="H204" s="750" t="s">
        <v>31</v>
      </c>
      <c r="I204" s="769"/>
      <c r="J204" s="774"/>
      <c r="K204" s="745"/>
      <c r="L204" s="780"/>
    </row>
    <row r="205" spans="2:13" s="743" customFormat="1" ht="67.5" customHeight="1">
      <c r="C205" s="748"/>
      <c r="D205" s="752"/>
      <c r="E205" s="756"/>
      <c r="F205" s="762"/>
      <c r="G205" s="766"/>
      <c r="H205" s="766"/>
      <c r="I205" s="770"/>
      <c r="J205" s="775"/>
      <c r="K205" s="778"/>
      <c r="L205" s="781"/>
    </row>
    <row r="206" spans="2:13" ht="27" customHeight="1">
      <c r="C206" s="749" t="str">
        <f>細目諸様式!E24</f>
        <v/>
      </c>
      <c r="D206" s="753">
        <f>細目諸様式!F24</f>
        <v>0</v>
      </c>
      <c r="E206" s="757" t="str">
        <f>細目諸様式!G24</f>
        <v/>
      </c>
      <c r="F206" s="763" t="str">
        <f>細目諸様式!H24</f>
        <v/>
      </c>
      <c r="G206" s="753">
        <f>細目諸様式!I24</f>
        <v>0</v>
      </c>
      <c r="H206" s="753">
        <f>細目諸様式!J24</f>
        <v>0</v>
      </c>
      <c r="I206" s="753" t="str">
        <f>細目諸様式!K24</f>
        <v/>
      </c>
      <c r="J206" s="753">
        <f>細目諸様式!L24</f>
        <v>0</v>
      </c>
      <c r="K206" s="757" t="str">
        <f>細目諸様式!M24</f>
        <v/>
      </c>
      <c r="L206" s="782" t="str">
        <f>細目諸様式!N24</f>
        <v/>
      </c>
    </row>
    <row r="208" spans="2:13">
      <c r="C208" s="742" t="s">
        <v>215</v>
      </c>
    </row>
    <row r="209" spans="2:13">
      <c r="B209" s="744"/>
      <c r="C209" s="744"/>
      <c r="D209" s="744"/>
      <c r="E209" s="744"/>
      <c r="F209" s="744"/>
      <c r="G209" s="744"/>
      <c r="H209" s="744"/>
      <c r="I209" s="744"/>
      <c r="J209" s="744"/>
      <c r="K209" s="744"/>
      <c r="L209" s="744"/>
      <c r="M209" s="784"/>
    </row>
    <row r="210" spans="2:13" ht="17.25">
      <c r="B210" s="55"/>
      <c r="C210" s="745"/>
      <c r="E210" s="8" t="str">
        <f>$E$1</f>
        <v>令和６年中の</v>
      </c>
      <c r="F210" s="759" t="s">
        <v>65</v>
      </c>
    </row>
    <row r="211" spans="2:13" ht="25.5" customHeight="1">
      <c r="J211" s="771" t="s">
        <v>212</v>
      </c>
      <c r="K211" s="776">
        <f>細目諸様式!O25</f>
        <v>0</v>
      </c>
      <c r="L211" s="771"/>
    </row>
    <row r="212" spans="2:13" ht="25.5" customHeight="1">
      <c r="J212" s="772" t="s">
        <v>214</v>
      </c>
      <c r="K212" s="764">
        <f>細目諸様式!B25</f>
        <v>0</v>
      </c>
      <c r="L212" s="763"/>
    </row>
    <row r="214" spans="2:13">
      <c r="C214" s="746" t="s">
        <v>216</v>
      </c>
      <c r="D214" s="750" t="s">
        <v>128</v>
      </c>
      <c r="E214" s="754" t="s">
        <v>220</v>
      </c>
      <c r="F214" s="760" t="s">
        <v>205</v>
      </c>
      <c r="G214" s="760"/>
      <c r="H214" s="767"/>
      <c r="I214" s="768" t="s">
        <v>35</v>
      </c>
      <c r="J214" s="773" t="s">
        <v>221</v>
      </c>
      <c r="K214" s="777" t="s">
        <v>219</v>
      </c>
      <c r="L214" s="779" t="s">
        <v>187</v>
      </c>
    </row>
    <row r="215" spans="2:13" ht="13.5" customHeight="1">
      <c r="C215" s="747"/>
      <c r="D215" s="751"/>
      <c r="E215" s="755"/>
      <c r="F215" s="761" t="s">
        <v>126</v>
      </c>
      <c r="G215" s="765" t="s">
        <v>217</v>
      </c>
      <c r="H215" s="750" t="s">
        <v>31</v>
      </c>
      <c r="I215" s="769"/>
      <c r="J215" s="774"/>
      <c r="K215" s="745"/>
      <c r="L215" s="780"/>
    </row>
    <row r="216" spans="2:13" s="743" customFormat="1" ht="67.5" customHeight="1">
      <c r="C216" s="748"/>
      <c r="D216" s="752"/>
      <c r="E216" s="756"/>
      <c r="F216" s="762"/>
      <c r="G216" s="766"/>
      <c r="H216" s="766"/>
      <c r="I216" s="770"/>
      <c r="J216" s="775"/>
      <c r="K216" s="778"/>
      <c r="L216" s="781"/>
    </row>
    <row r="217" spans="2:13" ht="27" customHeight="1">
      <c r="C217" s="749" t="str">
        <f>細目諸様式!E25</f>
        <v/>
      </c>
      <c r="D217" s="753">
        <f>細目諸様式!F25</f>
        <v>0</v>
      </c>
      <c r="E217" s="757" t="str">
        <f>細目諸様式!G25</f>
        <v/>
      </c>
      <c r="F217" s="763" t="str">
        <f>細目諸様式!H25</f>
        <v/>
      </c>
      <c r="G217" s="753">
        <f>細目諸様式!I25</f>
        <v>0</v>
      </c>
      <c r="H217" s="753">
        <f>細目諸様式!J25</f>
        <v>0</v>
      </c>
      <c r="I217" s="753" t="str">
        <f>細目諸様式!K25</f>
        <v/>
      </c>
      <c r="J217" s="753">
        <f>細目諸様式!L25</f>
        <v>0</v>
      </c>
      <c r="K217" s="757" t="str">
        <f>細目諸様式!M25</f>
        <v/>
      </c>
      <c r="L217" s="782" t="str">
        <f>細目諸様式!N25</f>
        <v/>
      </c>
    </row>
    <row r="219" spans="2:13">
      <c r="C219" s="742" t="s">
        <v>215</v>
      </c>
    </row>
    <row r="220" spans="2:13">
      <c r="B220" s="744"/>
      <c r="C220" s="744"/>
      <c r="D220" s="744"/>
      <c r="E220" s="744"/>
      <c r="F220" s="744"/>
      <c r="G220" s="744"/>
      <c r="H220" s="744"/>
      <c r="I220" s="744"/>
      <c r="J220" s="744"/>
      <c r="K220" s="744"/>
      <c r="L220" s="744"/>
      <c r="M220" s="784"/>
    </row>
    <row r="221" spans="2:13" ht="17.25">
      <c r="B221" s="55"/>
      <c r="C221" s="745"/>
      <c r="E221" s="8" t="str">
        <f>$E$1</f>
        <v>令和６年中の</v>
      </c>
      <c r="F221" s="759" t="s">
        <v>65</v>
      </c>
    </row>
    <row r="222" spans="2:13" ht="25.5" customHeight="1">
      <c r="J222" s="771" t="s">
        <v>212</v>
      </c>
      <c r="K222" s="776">
        <f>細目諸様式!O26</f>
        <v>0</v>
      </c>
      <c r="L222" s="771"/>
    </row>
    <row r="223" spans="2:13" ht="25.5" customHeight="1">
      <c r="J223" s="772" t="s">
        <v>214</v>
      </c>
      <c r="K223" s="764">
        <f>細目諸様式!B26</f>
        <v>0</v>
      </c>
      <c r="L223" s="763"/>
    </row>
    <row r="225" spans="2:13">
      <c r="C225" s="746" t="s">
        <v>216</v>
      </c>
      <c r="D225" s="750" t="s">
        <v>128</v>
      </c>
      <c r="E225" s="754" t="s">
        <v>220</v>
      </c>
      <c r="F225" s="760" t="s">
        <v>205</v>
      </c>
      <c r="G225" s="760"/>
      <c r="H225" s="767"/>
      <c r="I225" s="768" t="s">
        <v>35</v>
      </c>
      <c r="J225" s="773" t="s">
        <v>221</v>
      </c>
      <c r="K225" s="777" t="s">
        <v>219</v>
      </c>
      <c r="L225" s="779" t="s">
        <v>187</v>
      </c>
    </row>
    <row r="226" spans="2:13" ht="13.5" customHeight="1">
      <c r="C226" s="747"/>
      <c r="D226" s="751"/>
      <c r="E226" s="755"/>
      <c r="F226" s="761" t="s">
        <v>126</v>
      </c>
      <c r="G226" s="765" t="s">
        <v>217</v>
      </c>
      <c r="H226" s="750" t="s">
        <v>31</v>
      </c>
      <c r="I226" s="769"/>
      <c r="J226" s="774"/>
      <c r="K226" s="745"/>
      <c r="L226" s="780"/>
    </row>
    <row r="227" spans="2:13" s="743" customFormat="1" ht="67.5" customHeight="1">
      <c r="C227" s="748"/>
      <c r="D227" s="752"/>
      <c r="E227" s="756"/>
      <c r="F227" s="762"/>
      <c r="G227" s="766"/>
      <c r="H227" s="766"/>
      <c r="I227" s="770"/>
      <c r="J227" s="775"/>
      <c r="K227" s="778"/>
      <c r="L227" s="781"/>
    </row>
    <row r="228" spans="2:13" ht="27" customHeight="1">
      <c r="C228" s="749" t="str">
        <f>細目諸様式!E26</f>
        <v/>
      </c>
      <c r="D228" s="749">
        <f>細目諸様式!F26</f>
        <v>0</v>
      </c>
      <c r="E228" s="757" t="str">
        <f>細目諸様式!G26</f>
        <v/>
      </c>
      <c r="F228" s="763" t="str">
        <f>細目諸様式!H26</f>
        <v/>
      </c>
      <c r="G228" s="753" t="str">
        <f>細目諸様式!I26</f>
        <v/>
      </c>
      <c r="H228" s="753">
        <f>細目諸様式!J26</f>
        <v>0</v>
      </c>
      <c r="I228" s="753" t="str">
        <f>細目諸様式!K26</f>
        <v/>
      </c>
      <c r="J228" s="753">
        <f>細目諸様式!L26</f>
        <v>0</v>
      </c>
      <c r="K228" s="757" t="str">
        <f>細目諸様式!M26</f>
        <v/>
      </c>
      <c r="L228" s="782" t="str">
        <f>細目諸様式!N26</f>
        <v/>
      </c>
    </row>
    <row r="230" spans="2:13">
      <c r="C230" s="742" t="s">
        <v>215</v>
      </c>
    </row>
    <row r="231" spans="2:13">
      <c r="B231" s="744"/>
      <c r="C231" s="744"/>
      <c r="D231" s="744"/>
      <c r="E231" s="744"/>
      <c r="F231" s="744"/>
      <c r="G231" s="744"/>
      <c r="H231" s="744"/>
      <c r="I231" s="744"/>
      <c r="J231" s="744"/>
      <c r="K231" s="744"/>
      <c r="L231" s="744"/>
      <c r="M231" s="784"/>
    </row>
    <row r="232" spans="2:13" ht="17.25">
      <c r="B232" s="55"/>
      <c r="C232" s="745"/>
      <c r="E232" s="8" t="str">
        <f>$E$1</f>
        <v>令和６年中の</v>
      </c>
      <c r="F232" s="759" t="s">
        <v>65</v>
      </c>
    </row>
    <row r="233" spans="2:13" ht="25.5" customHeight="1">
      <c r="J233" s="771" t="s">
        <v>212</v>
      </c>
      <c r="K233" s="776">
        <f>細目諸様式!O27</f>
        <v>0</v>
      </c>
      <c r="L233" s="771"/>
    </row>
    <row r="234" spans="2:13" ht="25.5" customHeight="1">
      <c r="J234" s="772" t="s">
        <v>214</v>
      </c>
      <c r="K234" s="764">
        <f>細目諸様式!B27</f>
        <v>0</v>
      </c>
      <c r="L234" s="763"/>
    </row>
    <row r="236" spans="2:13">
      <c r="C236" s="746" t="s">
        <v>216</v>
      </c>
      <c r="D236" s="750" t="s">
        <v>128</v>
      </c>
      <c r="E236" s="754" t="s">
        <v>220</v>
      </c>
      <c r="F236" s="760" t="s">
        <v>205</v>
      </c>
      <c r="G236" s="760"/>
      <c r="H236" s="767"/>
      <c r="I236" s="768" t="s">
        <v>35</v>
      </c>
      <c r="J236" s="773" t="s">
        <v>221</v>
      </c>
      <c r="K236" s="777" t="s">
        <v>219</v>
      </c>
      <c r="L236" s="779" t="s">
        <v>187</v>
      </c>
    </row>
    <row r="237" spans="2:13" ht="13.5" customHeight="1">
      <c r="C237" s="747"/>
      <c r="D237" s="751"/>
      <c r="E237" s="755"/>
      <c r="F237" s="761" t="s">
        <v>126</v>
      </c>
      <c r="G237" s="765" t="s">
        <v>217</v>
      </c>
      <c r="H237" s="750" t="s">
        <v>31</v>
      </c>
      <c r="I237" s="769"/>
      <c r="J237" s="774"/>
      <c r="K237" s="745"/>
      <c r="L237" s="780"/>
    </row>
    <row r="238" spans="2:13" s="743" customFormat="1" ht="67.5" customHeight="1">
      <c r="C238" s="748"/>
      <c r="D238" s="752"/>
      <c r="E238" s="756"/>
      <c r="F238" s="762"/>
      <c r="G238" s="766"/>
      <c r="H238" s="766"/>
      <c r="I238" s="770"/>
      <c r="J238" s="775"/>
      <c r="K238" s="778"/>
      <c r="L238" s="781"/>
    </row>
    <row r="239" spans="2:13" ht="27" customHeight="1">
      <c r="C239" s="749" t="str">
        <f>細目諸様式!E27</f>
        <v/>
      </c>
      <c r="D239" s="753">
        <f>細目諸様式!F27</f>
        <v>0</v>
      </c>
      <c r="E239" s="757" t="str">
        <f>細目諸様式!G27</f>
        <v/>
      </c>
      <c r="F239" s="763" t="str">
        <f>細目諸様式!H27</f>
        <v/>
      </c>
      <c r="G239" s="753" t="str">
        <f>細目諸様式!I27</f>
        <v/>
      </c>
      <c r="H239" s="753">
        <f>細目諸様式!J27</f>
        <v>0</v>
      </c>
      <c r="I239" s="753" t="str">
        <f>細目諸様式!K27</f>
        <v/>
      </c>
      <c r="J239" s="753">
        <f>細目諸様式!L27</f>
        <v>0</v>
      </c>
      <c r="K239" s="757" t="str">
        <f>細目諸様式!M27</f>
        <v/>
      </c>
      <c r="L239" s="782" t="str">
        <f>細目諸様式!N27</f>
        <v/>
      </c>
    </row>
    <row r="241" spans="2:13">
      <c r="C241" s="742" t="s">
        <v>215</v>
      </c>
    </row>
    <row r="242" spans="2:13">
      <c r="B242" s="744"/>
      <c r="C242" s="744"/>
      <c r="D242" s="744"/>
      <c r="E242" s="744"/>
      <c r="F242" s="744"/>
      <c r="G242" s="744"/>
      <c r="H242" s="744"/>
      <c r="I242" s="744"/>
      <c r="J242" s="744"/>
      <c r="K242" s="744"/>
      <c r="L242" s="744"/>
      <c r="M242" s="784"/>
    </row>
    <row r="243" spans="2:13" ht="17.25">
      <c r="B243" s="55"/>
      <c r="C243" s="745"/>
      <c r="E243" s="8" t="str">
        <f>$E$1</f>
        <v>令和６年中の</v>
      </c>
      <c r="F243" s="759" t="s">
        <v>65</v>
      </c>
    </row>
    <row r="244" spans="2:13" ht="25.5" customHeight="1">
      <c r="J244" s="771" t="s">
        <v>212</v>
      </c>
      <c r="K244" s="776">
        <f>細目諸様式!O28</f>
        <v>0</v>
      </c>
      <c r="L244" s="771"/>
    </row>
    <row r="245" spans="2:13" ht="25.5" customHeight="1">
      <c r="J245" s="772" t="s">
        <v>214</v>
      </c>
      <c r="K245" s="764">
        <f>細目諸様式!B28</f>
        <v>0</v>
      </c>
      <c r="L245" s="763"/>
    </row>
    <row r="247" spans="2:13" ht="13.5" customHeight="1">
      <c r="C247" s="746" t="s">
        <v>216</v>
      </c>
      <c r="D247" s="750" t="s">
        <v>128</v>
      </c>
      <c r="E247" s="754" t="s">
        <v>220</v>
      </c>
      <c r="F247" s="760" t="s">
        <v>205</v>
      </c>
      <c r="G247" s="760"/>
      <c r="H247" s="767"/>
      <c r="I247" s="768" t="s">
        <v>35</v>
      </c>
      <c r="J247" s="773" t="s">
        <v>221</v>
      </c>
      <c r="K247" s="777" t="s">
        <v>219</v>
      </c>
      <c r="L247" s="779" t="s">
        <v>187</v>
      </c>
    </row>
    <row r="248" spans="2:13" ht="13.5" customHeight="1">
      <c r="C248" s="747"/>
      <c r="D248" s="751"/>
      <c r="E248" s="755"/>
      <c r="F248" s="761" t="s">
        <v>126</v>
      </c>
      <c r="G248" s="765" t="s">
        <v>217</v>
      </c>
      <c r="H248" s="750" t="s">
        <v>31</v>
      </c>
      <c r="I248" s="769"/>
      <c r="J248" s="774"/>
      <c r="K248" s="745"/>
      <c r="L248" s="780"/>
    </row>
    <row r="249" spans="2:13" s="743" customFormat="1" ht="67.5" customHeight="1">
      <c r="C249" s="748"/>
      <c r="D249" s="752"/>
      <c r="E249" s="756"/>
      <c r="F249" s="762"/>
      <c r="G249" s="766"/>
      <c r="H249" s="766"/>
      <c r="I249" s="770"/>
      <c r="J249" s="775"/>
      <c r="K249" s="778"/>
      <c r="L249" s="781"/>
    </row>
    <row r="250" spans="2:13" ht="27" customHeight="1">
      <c r="C250" s="749" t="str">
        <f>細目諸様式!E28</f>
        <v/>
      </c>
      <c r="D250" s="753">
        <f>細目諸様式!F28</f>
        <v>0</v>
      </c>
      <c r="E250" s="757" t="str">
        <f>細目諸様式!G28</f>
        <v/>
      </c>
      <c r="F250" s="763" t="str">
        <f>細目諸様式!H28</f>
        <v/>
      </c>
      <c r="G250" s="753" t="str">
        <f>細目諸様式!I28</f>
        <v/>
      </c>
      <c r="H250" s="753">
        <f>細目諸様式!J28</f>
        <v>0</v>
      </c>
      <c r="I250" s="753" t="str">
        <f>細目諸様式!K28</f>
        <v/>
      </c>
      <c r="J250" s="753">
        <f>細目諸様式!L28</f>
        <v>0</v>
      </c>
      <c r="K250" s="757" t="str">
        <f>細目諸様式!M28</f>
        <v/>
      </c>
      <c r="L250" s="782" t="str">
        <f>細目諸様式!N28</f>
        <v/>
      </c>
    </row>
    <row r="252" spans="2:13">
      <c r="C252" s="742" t="s">
        <v>215</v>
      </c>
    </row>
    <row r="253" spans="2:13">
      <c r="B253" s="744"/>
      <c r="C253" s="744"/>
      <c r="D253" s="744"/>
      <c r="E253" s="744"/>
      <c r="F253" s="744"/>
      <c r="G253" s="744"/>
      <c r="H253" s="744"/>
      <c r="I253" s="744"/>
      <c r="J253" s="744"/>
      <c r="K253" s="744"/>
      <c r="L253" s="744"/>
      <c r="M253" s="784"/>
    </row>
    <row r="254" spans="2:13" ht="17.25">
      <c r="B254" s="55"/>
      <c r="C254" s="745"/>
      <c r="E254" s="8" t="str">
        <f>$E$1</f>
        <v>令和６年中の</v>
      </c>
      <c r="F254" s="759" t="s">
        <v>65</v>
      </c>
    </row>
    <row r="255" spans="2:13" ht="25.5" customHeight="1">
      <c r="J255" s="771" t="s">
        <v>212</v>
      </c>
      <c r="K255" s="776">
        <f>細目諸様式!O29</f>
        <v>0</v>
      </c>
      <c r="L255" s="771"/>
    </row>
    <row r="256" spans="2:13" ht="25.5" customHeight="1">
      <c r="J256" s="772" t="s">
        <v>214</v>
      </c>
      <c r="K256" s="764">
        <f>細目諸様式!B29</f>
        <v>0</v>
      </c>
      <c r="L256" s="763"/>
    </row>
    <row r="258" spans="2:13" ht="13.5" customHeight="1">
      <c r="C258" s="746" t="s">
        <v>216</v>
      </c>
      <c r="D258" s="750" t="s">
        <v>128</v>
      </c>
      <c r="E258" s="754" t="s">
        <v>220</v>
      </c>
      <c r="F258" s="760" t="s">
        <v>205</v>
      </c>
      <c r="G258" s="760"/>
      <c r="H258" s="767"/>
      <c r="I258" s="768" t="s">
        <v>35</v>
      </c>
      <c r="J258" s="773" t="s">
        <v>221</v>
      </c>
      <c r="K258" s="777" t="s">
        <v>219</v>
      </c>
      <c r="L258" s="779" t="s">
        <v>187</v>
      </c>
    </row>
    <row r="259" spans="2:13" ht="13.5" customHeight="1">
      <c r="C259" s="747"/>
      <c r="D259" s="751"/>
      <c r="E259" s="755"/>
      <c r="F259" s="761" t="s">
        <v>126</v>
      </c>
      <c r="G259" s="765" t="s">
        <v>217</v>
      </c>
      <c r="H259" s="750" t="s">
        <v>31</v>
      </c>
      <c r="I259" s="769"/>
      <c r="J259" s="774"/>
      <c r="K259" s="745"/>
      <c r="L259" s="780"/>
    </row>
    <row r="260" spans="2:13" s="743" customFormat="1" ht="67.5" customHeight="1">
      <c r="C260" s="748"/>
      <c r="D260" s="752"/>
      <c r="E260" s="756"/>
      <c r="F260" s="762"/>
      <c r="G260" s="766"/>
      <c r="H260" s="766"/>
      <c r="I260" s="770"/>
      <c r="J260" s="775"/>
      <c r="K260" s="778"/>
      <c r="L260" s="781"/>
    </row>
    <row r="261" spans="2:13" ht="27" customHeight="1">
      <c r="C261" s="749" t="str">
        <f>細目諸様式!E29</f>
        <v/>
      </c>
      <c r="D261" s="753">
        <f>細目諸様式!F29</f>
        <v>0</v>
      </c>
      <c r="E261" s="757" t="str">
        <f>細目諸様式!G29</f>
        <v/>
      </c>
      <c r="F261" s="763" t="str">
        <f>細目諸様式!H29</f>
        <v/>
      </c>
      <c r="G261" s="753" t="str">
        <f>細目諸様式!I29</f>
        <v/>
      </c>
      <c r="H261" s="753">
        <f>細目諸様式!J29</f>
        <v>0</v>
      </c>
      <c r="I261" s="753" t="str">
        <f>細目諸様式!K29</f>
        <v/>
      </c>
      <c r="J261" s="753">
        <f>細目諸様式!L29</f>
        <v>0</v>
      </c>
      <c r="K261" s="757" t="str">
        <f>細目諸様式!M29</f>
        <v/>
      </c>
      <c r="L261" s="782" t="str">
        <f>細目諸様式!N29</f>
        <v/>
      </c>
    </row>
    <row r="263" spans="2:13">
      <c r="C263" s="742" t="s">
        <v>215</v>
      </c>
    </row>
    <row r="264" spans="2:13">
      <c r="B264" s="744"/>
      <c r="C264" s="744"/>
      <c r="D264" s="744"/>
      <c r="E264" s="744"/>
      <c r="F264" s="744"/>
      <c r="G264" s="744"/>
      <c r="H264" s="744"/>
      <c r="I264" s="744"/>
      <c r="J264" s="744"/>
      <c r="K264" s="744"/>
      <c r="L264" s="744"/>
      <c r="M264" s="784"/>
    </row>
    <row r="265" spans="2:13" ht="17.25">
      <c r="B265" s="55"/>
      <c r="C265" s="745"/>
      <c r="E265" s="8" t="str">
        <f>$E$1</f>
        <v>令和６年中の</v>
      </c>
      <c r="F265" s="759" t="s">
        <v>65</v>
      </c>
    </row>
    <row r="266" spans="2:13" ht="25.5" customHeight="1">
      <c r="J266" s="771" t="s">
        <v>212</v>
      </c>
      <c r="K266" s="776">
        <f>細目諸様式!O30</f>
        <v>0</v>
      </c>
      <c r="L266" s="771"/>
    </row>
    <row r="267" spans="2:13" ht="25.5" customHeight="1">
      <c r="J267" s="772" t="s">
        <v>214</v>
      </c>
      <c r="K267" s="764">
        <f>細目諸様式!B30</f>
        <v>0</v>
      </c>
      <c r="L267" s="763"/>
    </row>
    <row r="269" spans="2:13">
      <c r="C269" s="746" t="s">
        <v>216</v>
      </c>
      <c r="D269" s="750" t="s">
        <v>128</v>
      </c>
      <c r="E269" s="754" t="s">
        <v>220</v>
      </c>
      <c r="F269" s="760" t="s">
        <v>205</v>
      </c>
      <c r="G269" s="760"/>
      <c r="H269" s="767"/>
      <c r="I269" s="768" t="s">
        <v>35</v>
      </c>
      <c r="J269" s="773" t="s">
        <v>221</v>
      </c>
      <c r="K269" s="777" t="s">
        <v>219</v>
      </c>
      <c r="L269" s="779" t="s">
        <v>187</v>
      </c>
    </row>
    <row r="270" spans="2:13" ht="13.5" customHeight="1">
      <c r="C270" s="747"/>
      <c r="D270" s="751"/>
      <c r="E270" s="755"/>
      <c r="F270" s="761" t="s">
        <v>126</v>
      </c>
      <c r="G270" s="765" t="s">
        <v>217</v>
      </c>
      <c r="H270" s="750" t="s">
        <v>31</v>
      </c>
      <c r="I270" s="769"/>
      <c r="J270" s="774"/>
      <c r="K270" s="745"/>
      <c r="L270" s="780"/>
    </row>
    <row r="271" spans="2:13" s="743" customFormat="1" ht="67.5" customHeight="1">
      <c r="C271" s="748"/>
      <c r="D271" s="752"/>
      <c r="E271" s="756"/>
      <c r="F271" s="762"/>
      <c r="G271" s="766"/>
      <c r="H271" s="766"/>
      <c r="I271" s="770"/>
      <c r="J271" s="775"/>
      <c r="K271" s="778"/>
      <c r="L271" s="781"/>
    </row>
    <row r="272" spans="2:13" ht="27" customHeight="1">
      <c r="C272" s="749" t="str">
        <f>細目諸様式!E30</f>
        <v/>
      </c>
      <c r="D272" s="753">
        <f>細目諸様式!F30</f>
        <v>0</v>
      </c>
      <c r="E272" s="757" t="str">
        <f>細目諸様式!G30</f>
        <v/>
      </c>
      <c r="F272" s="763" t="str">
        <f>細目諸様式!H30</f>
        <v/>
      </c>
      <c r="G272" s="753" t="str">
        <f>細目諸様式!I30</f>
        <v/>
      </c>
      <c r="H272" s="753">
        <f>細目諸様式!J30</f>
        <v>0</v>
      </c>
      <c r="I272" s="753" t="str">
        <f>細目諸様式!K30</f>
        <v/>
      </c>
      <c r="J272" s="753">
        <f>細目諸様式!L30</f>
        <v>0</v>
      </c>
      <c r="K272" s="757" t="str">
        <f>細目諸様式!M30</f>
        <v/>
      </c>
      <c r="L272" s="782" t="str">
        <f>細目諸様式!N30</f>
        <v/>
      </c>
    </row>
    <row r="274" spans="2:13">
      <c r="C274" s="742" t="s">
        <v>215</v>
      </c>
    </row>
    <row r="275" spans="2:13">
      <c r="B275" s="744"/>
      <c r="C275" s="744"/>
      <c r="D275" s="744"/>
      <c r="E275" s="744"/>
      <c r="F275" s="744"/>
      <c r="G275" s="744"/>
      <c r="H275" s="744"/>
      <c r="I275" s="744"/>
      <c r="J275" s="744"/>
      <c r="K275" s="744"/>
      <c r="L275" s="744"/>
      <c r="M275" s="784"/>
    </row>
    <row r="276" spans="2:13" ht="17.25">
      <c r="B276" s="55"/>
      <c r="C276" s="745"/>
      <c r="E276" s="8" t="str">
        <f>$E$1</f>
        <v>令和６年中の</v>
      </c>
      <c r="F276" s="759" t="s">
        <v>65</v>
      </c>
    </row>
    <row r="277" spans="2:13" ht="25.5" customHeight="1">
      <c r="J277" s="771" t="s">
        <v>212</v>
      </c>
      <c r="K277" s="776">
        <f>細目諸様式!O31</f>
        <v>0</v>
      </c>
      <c r="L277" s="771"/>
    </row>
    <row r="278" spans="2:13" ht="25.5" customHeight="1">
      <c r="J278" s="772" t="s">
        <v>214</v>
      </c>
      <c r="K278" s="764">
        <f>細目諸様式!B31</f>
        <v>0</v>
      </c>
      <c r="L278" s="763"/>
    </row>
    <row r="280" spans="2:13">
      <c r="C280" s="746" t="s">
        <v>216</v>
      </c>
      <c r="D280" s="750" t="s">
        <v>128</v>
      </c>
      <c r="E280" s="754" t="s">
        <v>220</v>
      </c>
      <c r="F280" s="760" t="s">
        <v>205</v>
      </c>
      <c r="G280" s="760"/>
      <c r="H280" s="767"/>
      <c r="I280" s="768" t="s">
        <v>35</v>
      </c>
      <c r="J280" s="773" t="s">
        <v>221</v>
      </c>
      <c r="K280" s="777" t="s">
        <v>219</v>
      </c>
      <c r="L280" s="779" t="s">
        <v>187</v>
      </c>
    </row>
    <row r="281" spans="2:13" ht="13.5" customHeight="1">
      <c r="C281" s="747"/>
      <c r="D281" s="751"/>
      <c r="E281" s="755"/>
      <c r="F281" s="761" t="s">
        <v>126</v>
      </c>
      <c r="G281" s="765" t="s">
        <v>217</v>
      </c>
      <c r="H281" s="750" t="s">
        <v>31</v>
      </c>
      <c r="I281" s="769"/>
      <c r="J281" s="774"/>
      <c r="K281" s="745"/>
      <c r="L281" s="780"/>
    </row>
    <row r="282" spans="2:13" s="743" customFormat="1" ht="67.5" customHeight="1">
      <c r="C282" s="748"/>
      <c r="D282" s="752"/>
      <c r="E282" s="756"/>
      <c r="F282" s="762"/>
      <c r="G282" s="766"/>
      <c r="H282" s="766"/>
      <c r="I282" s="770"/>
      <c r="J282" s="775"/>
      <c r="K282" s="778"/>
      <c r="L282" s="781"/>
    </row>
    <row r="283" spans="2:13" ht="27" customHeight="1">
      <c r="C283" s="749" t="str">
        <f>細目諸様式!E31</f>
        <v/>
      </c>
      <c r="D283" s="749">
        <f>細目諸様式!F31</f>
        <v>0</v>
      </c>
      <c r="E283" s="757" t="str">
        <f>細目諸様式!G31</f>
        <v/>
      </c>
      <c r="F283" s="763" t="str">
        <f>細目諸様式!H31</f>
        <v/>
      </c>
      <c r="G283" s="753" t="str">
        <f>細目諸様式!I31</f>
        <v/>
      </c>
      <c r="H283" s="753">
        <f>細目諸様式!J31</f>
        <v>0</v>
      </c>
      <c r="I283" s="753" t="str">
        <f>細目諸様式!K31</f>
        <v/>
      </c>
      <c r="J283" s="753">
        <f>細目諸様式!L31</f>
        <v>0</v>
      </c>
      <c r="K283" s="757" t="str">
        <f>細目諸様式!M31</f>
        <v/>
      </c>
      <c r="L283" s="782" t="str">
        <f>細目諸様式!N31</f>
        <v/>
      </c>
    </row>
    <row r="285" spans="2:13">
      <c r="C285" s="742" t="s">
        <v>215</v>
      </c>
    </row>
    <row r="286" spans="2:13">
      <c r="B286" s="744"/>
      <c r="C286" s="744"/>
      <c r="D286" s="744"/>
      <c r="E286" s="744"/>
      <c r="F286" s="744"/>
      <c r="G286" s="744"/>
      <c r="H286" s="744"/>
      <c r="I286" s="744"/>
      <c r="J286" s="744"/>
      <c r="K286" s="744"/>
      <c r="L286" s="744"/>
      <c r="M286" s="784"/>
    </row>
    <row r="287" spans="2:13" ht="17.25">
      <c r="B287" s="55"/>
      <c r="C287" s="745"/>
      <c r="E287" s="8" t="str">
        <f>$E$1</f>
        <v>令和６年中の</v>
      </c>
      <c r="F287" s="759" t="s">
        <v>65</v>
      </c>
    </row>
    <row r="288" spans="2:13" ht="25.5" customHeight="1">
      <c r="J288" s="771" t="s">
        <v>212</v>
      </c>
      <c r="K288" s="776">
        <f>細目諸様式!O32</f>
        <v>0</v>
      </c>
      <c r="L288" s="771"/>
    </row>
    <row r="289" spans="2:13" ht="25.5" customHeight="1">
      <c r="J289" s="772" t="s">
        <v>214</v>
      </c>
      <c r="K289" s="764">
        <f>細目諸様式!B32</f>
        <v>0</v>
      </c>
      <c r="L289" s="763"/>
    </row>
    <row r="291" spans="2:13">
      <c r="C291" s="746" t="s">
        <v>216</v>
      </c>
      <c r="D291" s="750" t="s">
        <v>128</v>
      </c>
      <c r="E291" s="754" t="s">
        <v>220</v>
      </c>
      <c r="F291" s="760" t="s">
        <v>205</v>
      </c>
      <c r="G291" s="760"/>
      <c r="H291" s="767"/>
      <c r="I291" s="768" t="s">
        <v>35</v>
      </c>
      <c r="J291" s="773" t="s">
        <v>221</v>
      </c>
      <c r="K291" s="777" t="s">
        <v>219</v>
      </c>
      <c r="L291" s="779" t="s">
        <v>187</v>
      </c>
    </row>
    <row r="292" spans="2:13" ht="13.5" customHeight="1">
      <c r="C292" s="747"/>
      <c r="D292" s="751"/>
      <c r="E292" s="755"/>
      <c r="F292" s="761" t="s">
        <v>126</v>
      </c>
      <c r="G292" s="765" t="s">
        <v>217</v>
      </c>
      <c r="H292" s="750" t="s">
        <v>31</v>
      </c>
      <c r="I292" s="769"/>
      <c r="J292" s="774"/>
      <c r="K292" s="745"/>
      <c r="L292" s="780"/>
    </row>
    <row r="293" spans="2:13" s="743" customFormat="1" ht="67.5" customHeight="1">
      <c r="C293" s="748"/>
      <c r="D293" s="752"/>
      <c r="E293" s="756"/>
      <c r="F293" s="762"/>
      <c r="G293" s="766"/>
      <c r="H293" s="766"/>
      <c r="I293" s="770"/>
      <c r="J293" s="775"/>
      <c r="K293" s="778"/>
      <c r="L293" s="781"/>
    </row>
    <row r="294" spans="2:13" ht="27" customHeight="1">
      <c r="C294" s="749" t="str">
        <f>細目諸様式!E32</f>
        <v/>
      </c>
      <c r="D294" s="753">
        <f>細目諸様式!F32</f>
        <v>0</v>
      </c>
      <c r="E294" s="757" t="str">
        <f>細目諸様式!G32</f>
        <v/>
      </c>
      <c r="F294" s="763" t="str">
        <f>細目諸様式!H32</f>
        <v/>
      </c>
      <c r="G294" s="753" t="str">
        <f>細目諸様式!I32</f>
        <v/>
      </c>
      <c r="H294" s="753">
        <f>細目諸様式!J32</f>
        <v>0</v>
      </c>
      <c r="I294" s="753" t="str">
        <f>細目諸様式!K32</f>
        <v/>
      </c>
      <c r="J294" s="753">
        <f>細目諸様式!L32</f>
        <v>0</v>
      </c>
      <c r="K294" s="757" t="str">
        <f>細目諸様式!M32</f>
        <v/>
      </c>
      <c r="L294" s="782" t="str">
        <f>細目諸様式!N32</f>
        <v/>
      </c>
    </row>
    <row r="296" spans="2:13">
      <c r="C296" s="742" t="s">
        <v>215</v>
      </c>
    </row>
    <row r="297" spans="2:13">
      <c r="B297" s="744"/>
      <c r="C297" s="744"/>
      <c r="D297" s="744"/>
      <c r="E297" s="744"/>
      <c r="F297" s="744"/>
      <c r="G297" s="744"/>
      <c r="H297" s="744"/>
      <c r="I297" s="744"/>
      <c r="J297" s="744"/>
      <c r="K297" s="744"/>
      <c r="L297" s="744"/>
      <c r="M297" s="784"/>
    </row>
    <row r="298" spans="2:13" ht="17.25">
      <c r="B298" s="55"/>
      <c r="C298" s="745"/>
      <c r="E298" s="8" t="str">
        <f>$E$1</f>
        <v>令和６年中の</v>
      </c>
      <c r="F298" s="759" t="s">
        <v>65</v>
      </c>
    </row>
    <row r="299" spans="2:13" ht="25.5" customHeight="1">
      <c r="J299" s="771" t="s">
        <v>212</v>
      </c>
      <c r="K299" s="776">
        <f>細目諸様式!O33</f>
        <v>0</v>
      </c>
      <c r="L299" s="771"/>
    </row>
    <row r="300" spans="2:13" ht="25.5" customHeight="1">
      <c r="J300" s="772" t="s">
        <v>214</v>
      </c>
      <c r="K300" s="764">
        <f>細目諸様式!B33</f>
        <v>0</v>
      </c>
      <c r="L300" s="763"/>
    </row>
    <row r="302" spans="2:13" ht="13.5" customHeight="1">
      <c r="C302" s="746" t="s">
        <v>216</v>
      </c>
      <c r="D302" s="750" t="s">
        <v>128</v>
      </c>
      <c r="E302" s="754" t="s">
        <v>220</v>
      </c>
      <c r="F302" s="760" t="s">
        <v>205</v>
      </c>
      <c r="G302" s="760"/>
      <c r="H302" s="767"/>
      <c r="I302" s="768" t="s">
        <v>35</v>
      </c>
      <c r="J302" s="773" t="s">
        <v>221</v>
      </c>
      <c r="K302" s="777" t="s">
        <v>219</v>
      </c>
      <c r="L302" s="779" t="s">
        <v>187</v>
      </c>
    </row>
    <row r="303" spans="2:13" ht="13.5" customHeight="1">
      <c r="C303" s="747"/>
      <c r="D303" s="751"/>
      <c r="E303" s="755"/>
      <c r="F303" s="761" t="s">
        <v>126</v>
      </c>
      <c r="G303" s="765" t="s">
        <v>217</v>
      </c>
      <c r="H303" s="750" t="s">
        <v>31</v>
      </c>
      <c r="I303" s="769"/>
      <c r="J303" s="774"/>
      <c r="K303" s="745"/>
      <c r="L303" s="780"/>
    </row>
    <row r="304" spans="2:13" s="743" customFormat="1" ht="67.5" customHeight="1">
      <c r="C304" s="748"/>
      <c r="D304" s="752"/>
      <c r="E304" s="756"/>
      <c r="F304" s="762"/>
      <c r="G304" s="766"/>
      <c r="H304" s="766"/>
      <c r="I304" s="770"/>
      <c r="J304" s="775"/>
      <c r="K304" s="778"/>
      <c r="L304" s="781"/>
    </row>
    <row r="305" spans="2:13" ht="27" customHeight="1">
      <c r="C305" s="749" t="str">
        <f>細目諸様式!E33</f>
        <v/>
      </c>
      <c r="D305" s="753">
        <f>細目諸様式!F33</f>
        <v>0</v>
      </c>
      <c r="E305" s="757" t="str">
        <f>細目諸様式!G33</f>
        <v/>
      </c>
      <c r="F305" s="763" t="str">
        <f>細目諸様式!H33</f>
        <v/>
      </c>
      <c r="G305" s="753" t="str">
        <f>細目諸様式!I33</f>
        <v/>
      </c>
      <c r="H305" s="753">
        <f>細目諸様式!J33</f>
        <v>0</v>
      </c>
      <c r="I305" s="753" t="str">
        <f>細目諸様式!K33</f>
        <v/>
      </c>
      <c r="J305" s="753">
        <f>細目諸様式!L33</f>
        <v>0</v>
      </c>
      <c r="K305" s="757" t="str">
        <f>細目諸様式!M33</f>
        <v/>
      </c>
      <c r="L305" s="782" t="str">
        <f>細目諸様式!N33</f>
        <v/>
      </c>
    </row>
    <row r="307" spans="2:13">
      <c r="C307" s="742" t="s">
        <v>215</v>
      </c>
    </row>
    <row r="308" spans="2:13">
      <c r="B308" s="744"/>
      <c r="C308" s="744"/>
      <c r="D308" s="744"/>
      <c r="E308" s="744"/>
      <c r="F308" s="744"/>
      <c r="G308" s="744"/>
      <c r="H308" s="744"/>
      <c r="I308" s="744"/>
      <c r="J308" s="744"/>
      <c r="K308" s="744"/>
      <c r="L308" s="744"/>
      <c r="M308" s="784"/>
    </row>
    <row r="309" spans="2:13" ht="17.25">
      <c r="B309" s="55"/>
      <c r="C309" s="745"/>
      <c r="E309" s="8" t="str">
        <f>$E$1</f>
        <v>令和６年中の</v>
      </c>
      <c r="F309" s="759" t="s">
        <v>65</v>
      </c>
    </row>
    <row r="310" spans="2:13" ht="25.5" customHeight="1">
      <c r="J310" s="771" t="s">
        <v>212</v>
      </c>
      <c r="K310" s="776">
        <f>細目諸様式!O34</f>
        <v>0</v>
      </c>
      <c r="L310" s="771"/>
    </row>
    <row r="311" spans="2:13" ht="25.5" customHeight="1">
      <c r="J311" s="772" t="s">
        <v>214</v>
      </c>
      <c r="K311" s="764">
        <f>細目諸様式!B34</f>
        <v>0</v>
      </c>
      <c r="L311" s="763"/>
    </row>
    <row r="313" spans="2:13" ht="13.5" customHeight="1">
      <c r="C313" s="746" t="s">
        <v>216</v>
      </c>
      <c r="D313" s="750" t="s">
        <v>128</v>
      </c>
      <c r="E313" s="754" t="s">
        <v>220</v>
      </c>
      <c r="F313" s="760" t="s">
        <v>205</v>
      </c>
      <c r="G313" s="760"/>
      <c r="H313" s="767"/>
      <c r="I313" s="768" t="s">
        <v>35</v>
      </c>
      <c r="J313" s="773" t="s">
        <v>221</v>
      </c>
      <c r="K313" s="777" t="s">
        <v>219</v>
      </c>
      <c r="L313" s="779" t="s">
        <v>187</v>
      </c>
    </row>
    <row r="314" spans="2:13" ht="13.5" customHeight="1">
      <c r="C314" s="747"/>
      <c r="D314" s="751"/>
      <c r="E314" s="755"/>
      <c r="F314" s="761" t="s">
        <v>126</v>
      </c>
      <c r="G314" s="765" t="s">
        <v>217</v>
      </c>
      <c r="H314" s="750" t="s">
        <v>31</v>
      </c>
      <c r="I314" s="769"/>
      <c r="J314" s="774"/>
      <c r="K314" s="745"/>
      <c r="L314" s="780"/>
    </row>
    <row r="315" spans="2:13" s="743" customFormat="1" ht="67.5" customHeight="1">
      <c r="C315" s="748"/>
      <c r="D315" s="752"/>
      <c r="E315" s="756"/>
      <c r="F315" s="762"/>
      <c r="G315" s="766"/>
      <c r="H315" s="766"/>
      <c r="I315" s="770"/>
      <c r="J315" s="775"/>
      <c r="K315" s="778"/>
      <c r="L315" s="781"/>
    </row>
    <row r="316" spans="2:13" ht="27" customHeight="1">
      <c r="C316" s="749" t="str">
        <f>細目諸様式!E34</f>
        <v/>
      </c>
      <c r="D316" s="753">
        <f>細目諸様式!F34</f>
        <v>0</v>
      </c>
      <c r="E316" s="757" t="str">
        <f>細目諸様式!G34</f>
        <v/>
      </c>
      <c r="F316" s="763" t="str">
        <f>細目諸様式!H34</f>
        <v/>
      </c>
      <c r="G316" s="753" t="str">
        <f>細目諸様式!I34</f>
        <v/>
      </c>
      <c r="H316" s="753">
        <f>細目諸様式!J34</f>
        <v>0</v>
      </c>
      <c r="I316" s="753" t="str">
        <f>細目諸様式!K34</f>
        <v/>
      </c>
      <c r="J316" s="753">
        <f>細目諸様式!L34</f>
        <v>0</v>
      </c>
      <c r="K316" s="757" t="str">
        <f>細目諸様式!M34</f>
        <v/>
      </c>
      <c r="L316" s="782" t="str">
        <f>細目諸様式!N34</f>
        <v/>
      </c>
    </row>
    <row r="318" spans="2:13">
      <c r="C318" s="742" t="s">
        <v>215</v>
      </c>
    </row>
    <row r="319" spans="2:13">
      <c r="B319" s="744"/>
      <c r="C319" s="744"/>
      <c r="D319" s="744"/>
      <c r="E319" s="744"/>
      <c r="F319" s="744"/>
      <c r="G319" s="744"/>
      <c r="H319" s="744"/>
      <c r="I319" s="744"/>
      <c r="J319" s="744"/>
      <c r="K319" s="744"/>
      <c r="L319" s="744"/>
      <c r="M319" s="784"/>
    </row>
    <row r="320" spans="2:13" ht="17.25">
      <c r="B320" s="55"/>
      <c r="C320" s="745"/>
      <c r="E320" s="8" t="str">
        <f>$E$1</f>
        <v>令和６年中の</v>
      </c>
      <c r="F320" s="759" t="s">
        <v>65</v>
      </c>
    </row>
    <row r="321" spans="2:13" ht="25.5" customHeight="1">
      <c r="J321" s="771" t="s">
        <v>212</v>
      </c>
      <c r="K321" s="776">
        <f>細目諸様式!O35</f>
        <v>0</v>
      </c>
      <c r="L321" s="771"/>
    </row>
    <row r="322" spans="2:13" ht="25.5" customHeight="1">
      <c r="J322" s="772" t="s">
        <v>214</v>
      </c>
      <c r="K322" s="764">
        <f>細目諸様式!B35</f>
        <v>0</v>
      </c>
      <c r="L322" s="763"/>
    </row>
    <row r="324" spans="2:13">
      <c r="C324" s="746" t="s">
        <v>216</v>
      </c>
      <c r="D324" s="750" t="s">
        <v>128</v>
      </c>
      <c r="E324" s="754" t="s">
        <v>220</v>
      </c>
      <c r="F324" s="760" t="s">
        <v>205</v>
      </c>
      <c r="G324" s="760"/>
      <c r="H324" s="767"/>
      <c r="I324" s="768" t="s">
        <v>35</v>
      </c>
      <c r="J324" s="773" t="s">
        <v>221</v>
      </c>
      <c r="K324" s="777" t="s">
        <v>219</v>
      </c>
      <c r="L324" s="779" t="s">
        <v>187</v>
      </c>
    </row>
    <row r="325" spans="2:13" ht="13.5" customHeight="1">
      <c r="C325" s="747"/>
      <c r="D325" s="751"/>
      <c r="E325" s="755"/>
      <c r="F325" s="761" t="s">
        <v>126</v>
      </c>
      <c r="G325" s="765" t="s">
        <v>217</v>
      </c>
      <c r="H325" s="750" t="s">
        <v>31</v>
      </c>
      <c r="I325" s="769"/>
      <c r="J325" s="774"/>
      <c r="K325" s="745"/>
      <c r="L325" s="780"/>
    </row>
    <row r="326" spans="2:13" s="743" customFormat="1" ht="67.5" customHeight="1">
      <c r="C326" s="748"/>
      <c r="D326" s="752"/>
      <c r="E326" s="756"/>
      <c r="F326" s="762"/>
      <c r="G326" s="766"/>
      <c r="H326" s="766"/>
      <c r="I326" s="770"/>
      <c r="J326" s="775"/>
      <c r="K326" s="778"/>
      <c r="L326" s="781"/>
    </row>
    <row r="327" spans="2:13" ht="27" customHeight="1">
      <c r="C327" s="749" t="str">
        <f>細目諸様式!E35</f>
        <v/>
      </c>
      <c r="D327" s="753">
        <f>細目諸様式!F35</f>
        <v>0</v>
      </c>
      <c r="E327" s="757" t="str">
        <f>細目諸様式!G35</f>
        <v/>
      </c>
      <c r="F327" s="763" t="str">
        <f>細目諸様式!H35</f>
        <v/>
      </c>
      <c r="G327" s="753" t="str">
        <f>細目諸様式!I35</f>
        <v/>
      </c>
      <c r="H327" s="753">
        <f>細目諸様式!J35</f>
        <v>0</v>
      </c>
      <c r="I327" s="753" t="str">
        <f>細目諸様式!K35</f>
        <v/>
      </c>
      <c r="J327" s="753">
        <f>細目諸様式!L35</f>
        <v>0</v>
      </c>
      <c r="K327" s="757" t="str">
        <f>細目諸様式!M35</f>
        <v/>
      </c>
      <c r="L327" s="782" t="str">
        <f>細目諸様式!N35</f>
        <v/>
      </c>
    </row>
    <row r="329" spans="2:13">
      <c r="C329" s="742" t="s">
        <v>215</v>
      </c>
    </row>
    <row r="330" spans="2:13">
      <c r="B330" s="744"/>
      <c r="C330" s="744"/>
      <c r="D330" s="744"/>
      <c r="E330" s="744"/>
      <c r="F330" s="744"/>
      <c r="G330" s="744"/>
      <c r="H330" s="744"/>
      <c r="I330" s="744"/>
      <c r="J330" s="744"/>
      <c r="K330" s="744"/>
      <c r="L330" s="744"/>
      <c r="M330" s="784"/>
    </row>
  </sheetData>
  <mergeCells count="360">
    <mergeCell ref="B1:C1"/>
    <mergeCell ref="F5:H5"/>
    <mergeCell ref="B12:C12"/>
    <mergeCell ref="F16:H16"/>
    <mergeCell ref="B23:C23"/>
    <mergeCell ref="F27:H27"/>
    <mergeCell ref="B34:C34"/>
    <mergeCell ref="F38:H38"/>
    <mergeCell ref="B45:C45"/>
    <mergeCell ref="F49:H49"/>
    <mergeCell ref="B56:C56"/>
    <mergeCell ref="F60:H60"/>
    <mergeCell ref="B67:C67"/>
    <mergeCell ref="F71:H71"/>
    <mergeCell ref="B78:C78"/>
    <mergeCell ref="F82:H82"/>
    <mergeCell ref="B89:C89"/>
    <mergeCell ref="F93:H93"/>
    <mergeCell ref="B100:C100"/>
    <mergeCell ref="F104:H104"/>
    <mergeCell ref="B111:C111"/>
    <mergeCell ref="F115:H115"/>
    <mergeCell ref="B122:C122"/>
    <mergeCell ref="F126:H126"/>
    <mergeCell ref="B133:C133"/>
    <mergeCell ref="F137:H137"/>
    <mergeCell ref="B144:C144"/>
    <mergeCell ref="F148:H148"/>
    <mergeCell ref="B155:C155"/>
    <mergeCell ref="F159:H159"/>
    <mergeCell ref="B166:C166"/>
    <mergeCell ref="F170:H170"/>
    <mergeCell ref="B177:C177"/>
    <mergeCell ref="F181:H181"/>
    <mergeCell ref="B188:C188"/>
    <mergeCell ref="F192:H192"/>
    <mergeCell ref="B199:C199"/>
    <mergeCell ref="F203:H203"/>
    <mergeCell ref="B210:C210"/>
    <mergeCell ref="F214:H214"/>
    <mergeCell ref="B221:C221"/>
    <mergeCell ref="F225:H225"/>
    <mergeCell ref="B232:C232"/>
    <mergeCell ref="F236:H236"/>
    <mergeCell ref="B243:C243"/>
    <mergeCell ref="F247:H247"/>
    <mergeCell ref="B254:C254"/>
    <mergeCell ref="F258:H258"/>
    <mergeCell ref="B265:C265"/>
    <mergeCell ref="F269:H269"/>
    <mergeCell ref="B276:C276"/>
    <mergeCell ref="F280:H280"/>
    <mergeCell ref="B287:C287"/>
    <mergeCell ref="F291:H291"/>
    <mergeCell ref="B298:C298"/>
    <mergeCell ref="F302:H302"/>
    <mergeCell ref="B309:C309"/>
    <mergeCell ref="F313:H313"/>
    <mergeCell ref="B320:C320"/>
    <mergeCell ref="F324:H324"/>
    <mergeCell ref="C5:C7"/>
    <mergeCell ref="D5:D7"/>
    <mergeCell ref="E5:E7"/>
    <mergeCell ref="I5:I7"/>
    <mergeCell ref="J5:J7"/>
    <mergeCell ref="K5:K7"/>
    <mergeCell ref="L5:L7"/>
    <mergeCell ref="F6:F7"/>
    <mergeCell ref="G6:G7"/>
    <mergeCell ref="H6:H7"/>
    <mergeCell ref="C16:C18"/>
    <mergeCell ref="D16:D18"/>
    <mergeCell ref="E16:E18"/>
    <mergeCell ref="I16:I18"/>
    <mergeCell ref="J16:J18"/>
    <mergeCell ref="K16:K18"/>
    <mergeCell ref="L16:L18"/>
    <mergeCell ref="F17:F18"/>
    <mergeCell ref="G17:G18"/>
    <mergeCell ref="H17:H18"/>
    <mergeCell ref="C27:C29"/>
    <mergeCell ref="D27:D29"/>
    <mergeCell ref="E27:E29"/>
    <mergeCell ref="I27:I29"/>
    <mergeCell ref="J27:J29"/>
    <mergeCell ref="K27:K29"/>
    <mergeCell ref="L27:L29"/>
    <mergeCell ref="F28:F29"/>
    <mergeCell ref="G28:G29"/>
    <mergeCell ref="H28:H29"/>
    <mergeCell ref="C38:C40"/>
    <mergeCell ref="D38:D40"/>
    <mergeCell ref="E38:E40"/>
    <mergeCell ref="I38:I40"/>
    <mergeCell ref="J38:J40"/>
    <mergeCell ref="K38:K40"/>
    <mergeCell ref="L38:L40"/>
    <mergeCell ref="F39:F40"/>
    <mergeCell ref="G39:G40"/>
    <mergeCell ref="H39:H40"/>
    <mergeCell ref="C49:C51"/>
    <mergeCell ref="D49:D51"/>
    <mergeCell ref="E49:E51"/>
    <mergeCell ref="I49:I51"/>
    <mergeCell ref="J49:J51"/>
    <mergeCell ref="K49:K51"/>
    <mergeCell ref="L49:L51"/>
    <mergeCell ref="F50:F51"/>
    <mergeCell ref="G50:G51"/>
    <mergeCell ref="H50:H51"/>
    <mergeCell ref="C60:C62"/>
    <mergeCell ref="D60:D62"/>
    <mergeCell ref="E60:E62"/>
    <mergeCell ref="I60:I62"/>
    <mergeCell ref="J60:J62"/>
    <mergeCell ref="K60:K62"/>
    <mergeCell ref="L60:L62"/>
    <mergeCell ref="F61:F62"/>
    <mergeCell ref="G61:G62"/>
    <mergeCell ref="H61:H62"/>
    <mergeCell ref="C71:C73"/>
    <mergeCell ref="D71:D73"/>
    <mergeCell ref="E71:E73"/>
    <mergeCell ref="I71:I73"/>
    <mergeCell ref="J71:J73"/>
    <mergeCell ref="K71:K73"/>
    <mergeCell ref="L71:L73"/>
    <mergeCell ref="F72:F73"/>
    <mergeCell ref="G72:G73"/>
    <mergeCell ref="H72:H73"/>
    <mergeCell ref="C82:C84"/>
    <mergeCell ref="D82:D84"/>
    <mergeCell ref="E82:E84"/>
    <mergeCell ref="I82:I84"/>
    <mergeCell ref="J82:J84"/>
    <mergeCell ref="K82:K84"/>
    <mergeCell ref="L82:L84"/>
    <mergeCell ref="F83:F84"/>
    <mergeCell ref="G83:G84"/>
    <mergeCell ref="H83:H84"/>
    <mergeCell ref="C93:C95"/>
    <mergeCell ref="D93:D95"/>
    <mergeCell ref="E93:E95"/>
    <mergeCell ref="I93:I95"/>
    <mergeCell ref="J93:J95"/>
    <mergeCell ref="K93:K95"/>
    <mergeCell ref="L93:L95"/>
    <mergeCell ref="F94:F95"/>
    <mergeCell ref="G94:G95"/>
    <mergeCell ref="H94:H95"/>
    <mergeCell ref="C104:C106"/>
    <mergeCell ref="D104:D106"/>
    <mergeCell ref="E104:E106"/>
    <mergeCell ref="I104:I106"/>
    <mergeCell ref="J104:J106"/>
    <mergeCell ref="K104:K106"/>
    <mergeCell ref="L104:L106"/>
    <mergeCell ref="F105:F106"/>
    <mergeCell ref="G105:G106"/>
    <mergeCell ref="H105:H106"/>
    <mergeCell ref="C115:C117"/>
    <mergeCell ref="D115:D117"/>
    <mergeCell ref="E115:E117"/>
    <mergeCell ref="I115:I117"/>
    <mergeCell ref="J115:J117"/>
    <mergeCell ref="K115:K117"/>
    <mergeCell ref="L115:L117"/>
    <mergeCell ref="F116:F117"/>
    <mergeCell ref="G116:G117"/>
    <mergeCell ref="H116:H117"/>
    <mergeCell ref="C126:C128"/>
    <mergeCell ref="D126:D128"/>
    <mergeCell ref="E126:E128"/>
    <mergeCell ref="I126:I128"/>
    <mergeCell ref="J126:J128"/>
    <mergeCell ref="K126:K128"/>
    <mergeCell ref="L126:L128"/>
    <mergeCell ref="F127:F128"/>
    <mergeCell ref="G127:G128"/>
    <mergeCell ref="H127:H128"/>
    <mergeCell ref="C137:C139"/>
    <mergeCell ref="D137:D139"/>
    <mergeCell ref="E137:E139"/>
    <mergeCell ref="I137:I139"/>
    <mergeCell ref="J137:J139"/>
    <mergeCell ref="K137:K139"/>
    <mergeCell ref="L137:L139"/>
    <mergeCell ref="F138:F139"/>
    <mergeCell ref="G138:G139"/>
    <mergeCell ref="H138:H139"/>
    <mergeCell ref="C148:C150"/>
    <mergeCell ref="D148:D150"/>
    <mergeCell ref="E148:E150"/>
    <mergeCell ref="I148:I150"/>
    <mergeCell ref="J148:J150"/>
    <mergeCell ref="K148:K150"/>
    <mergeCell ref="L148:L150"/>
    <mergeCell ref="F149:F150"/>
    <mergeCell ref="G149:G150"/>
    <mergeCell ref="H149:H150"/>
    <mergeCell ref="C159:C161"/>
    <mergeCell ref="D159:D161"/>
    <mergeCell ref="E159:E161"/>
    <mergeCell ref="I159:I161"/>
    <mergeCell ref="J159:J161"/>
    <mergeCell ref="K159:K161"/>
    <mergeCell ref="L159:L161"/>
    <mergeCell ref="F160:F161"/>
    <mergeCell ref="G160:G161"/>
    <mergeCell ref="H160:H161"/>
    <mergeCell ref="C170:C172"/>
    <mergeCell ref="D170:D172"/>
    <mergeCell ref="E170:E172"/>
    <mergeCell ref="I170:I172"/>
    <mergeCell ref="J170:J172"/>
    <mergeCell ref="K170:K172"/>
    <mergeCell ref="L170:L172"/>
    <mergeCell ref="F171:F172"/>
    <mergeCell ref="G171:G172"/>
    <mergeCell ref="H171:H172"/>
    <mergeCell ref="C181:C183"/>
    <mergeCell ref="D181:D183"/>
    <mergeCell ref="E181:E183"/>
    <mergeCell ref="I181:I183"/>
    <mergeCell ref="J181:J183"/>
    <mergeCell ref="K181:K183"/>
    <mergeCell ref="L181:L183"/>
    <mergeCell ref="F182:F183"/>
    <mergeCell ref="G182:G183"/>
    <mergeCell ref="H182:H183"/>
    <mergeCell ref="C192:C194"/>
    <mergeCell ref="D192:D194"/>
    <mergeCell ref="E192:E194"/>
    <mergeCell ref="I192:I194"/>
    <mergeCell ref="J192:J194"/>
    <mergeCell ref="K192:K194"/>
    <mergeCell ref="L192:L194"/>
    <mergeCell ref="F193:F194"/>
    <mergeCell ref="G193:G194"/>
    <mergeCell ref="H193:H194"/>
    <mergeCell ref="C203:C205"/>
    <mergeCell ref="D203:D205"/>
    <mergeCell ref="E203:E205"/>
    <mergeCell ref="I203:I205"/>
    <mergeCell ref="J203:J205"/>
    <mergeCell ref="K203:K205"/>
    <mergeCell ref="L203:L205"/>
    <mergeCell ref="F204:F205"/>
    <mergeCell ref="G204:G205"/>
    <mergeCell ref="H204:H205"/>
    <mergeCell ref="C214:C216"/>
    <mergeCell ref="D214:D216"/>
    <mergeCell ref="E214:E216"/>
    <mergeCell ref="I214:I216"/>
    <mergeCell ref="J214:J216"/>
    <mergeCell ref="K214:K216"/>
    <mergeCell ref="L214:L216"/>
    <mergeCell ref="F215:F216"/>
    <mergeCell ref="G215:G216"/>
    <mergeCell ref="H215:H216"/>
    <mergeCell ref="C225:C227"/>
    <mergeCell ref="D225:D227"/>
    <mergeCell ref="E225:E227"/>
    <mergeCell ref="I225:I227"/>
    <mergeCell ref="J225:J227"/>
    <mergeCell ref="K225:K227"/>
    <mergeCell ref="L225:L227"/>
    <mergeCell ref="F226:F227"/>
    <mergeCell ref="G226:G227"/>
    <mergeCell ref="H226:H227"/>
    <mergeCell ref="C236:C238"/>
    <mergeCell ref="D236:D238"/>
    <mergeCell ref="E236:E238"/>
    <mergeCell ref="I236:I238"/>
    <mergeCell ref="J236:J238"/>
    <mergeCell ref="K236:K238"/>
    <mergeCell ref="L236:L238"/>
    <mergeCell ref="F237:F238"/>
    <mergeCell ref="G237:G238"/>
    <mergeCell ref="H237:H238"/>
    <mergeCell ref="C247:C249"/>
    <mergeCell ref="D247:D249"/>
    <mergeCell ref="E247:E249"/>
    <mergeCell ref="I247:I249"/>
    <mergeCell ref="J247:J249"/>
    <mergeCell ref="K247:K249"/>
    <mergeCell ref="L247:L249"/>
    <mergeCell ref="F248:F249"/>
    <mergeCell ref="G248:G249"/>
    <mergeCell ref="H248:H249"/>
    <mergeCell ref="C258:C260"/>
    <mergeCell ref="D258:D260"/>
    <mergeCell ref="E258:E260"/>
    <mergeCell ref="I258:I260"/>
    <mergeCell ref="J258:J260"/>
    <mergeCell ref="K258:K260"/>
    <mergeCell ref="L258:L260"/>
    <mergeCell ref="F259:F260"/>
    <mergeCell ref="G259:G260"/>
    <mergeCell ref="H259:H260"/>
    <mergeCell ref="C269:C271"/>
    <mergeCell ref="D269:D271"/>
    <mergeCell ref="E269:E271"/>
    <mergeCell ref="I269:I271"/>
    <mergeCell ref="J269:J271"/>
    <mergeCell ref="K269:K271"/>
    <mergeCell ref="L269:L271"/>
    <mergeCell ref="F270:F271"/>
    <mergeCell ref="G270:G271"/>
    <mergeCell ref="H270:H271"/>
    <mergeCell ref="C280:C282"/>
    <mergeCell ref="D280:D282"/>
    <mergeCell ref="E280:E282"/>
    <mergeCell ref="I280:I282"/>
    <mergeCell ref="J280:J282"/>
    <mergeCell ref="K280:K282"/>
    <mergeCell ref="L280:L282"/>
    <mergeCell ref="F281:F282"/>
    <mergeCell ref="G281:G282"/>
    <mergeCell ref="H281:H282"/>
    <mergeCell ref="C291:C293"/>
    <mergeCell ref="D291:D293"/>
    <mergeCell ref="E291:E293"/>
    <mergeCell ref="I291:I293"/>
    <mergeCell ref="J291:J293"/>
    <mergeCell ref="K291:K293"/>
    <mergeCell ref="L291:L293"/>
    <mergeCell ref="F292:F293"/>
    <mergeCell ref="G292:G293"/>
    <mergeCell ref="H292:H293"/>
    <mergeCell ref="C302:C304"/>
    <mergeCell ref="D302:D304"/>
    <mergeCell ref="E302:E304"/>
    <mergeCell ref="I302:I304"/>
    <mergeCell ref="J302:J304"/>
    <mergeCell ref="K302:K304"/>
    <mergeCell ref="L302:L304"/>
    <mergeCell ref="F303:F304"/>
    <mergeCell ref="G303:G304"/>
    <mergeCell ref="H303:H304"/>
    <mergeCell ref="C313:C315"/>
    <mergeCell ref="D313:D315"/>
    <mergeCell ref="E313:E315"/>
    <mergeCell ref="I313:I315"/>
    <mergeCell ref="J313:J315"/>
    <mergeCell ref="K313:K315"/>
    <mergeCell ref="L313:L315"/>
    <mergeCell ref="F314:F315"/>
    <mergeCell ref="G314:G315"/>
    <mergeCell ref="H314:H315"/>
    <mergeCell ref="C324:C326"/>
    <mergeCell ref="D324:D326"/>
    <mergeCell ref="E324:E326"/>
    <mergeCell ref="I324:I326"/>
    <mergeCell ref="J324:J326"/>
    <mergeCell ref="K324:K326"/>
    <mergeCell ref="L324:L326"/>
    <mergeCell ref="F325:F326"/>
    <mergeCell ref="G325:G326"/>
    <mergeCell ref="H325:H326"/>
  </mergeCells>
  <phoneticPr fontId="2"/>
  <pageMargins left="0.39370078740157483" right="0.39370078740157483" top="0.78740157480314965" bottom="0.59055118110236227" header="0.51181102362204722" footer="0.51181102362204722"/>
  <pageSetup paperSize="9" scale="60" fitToWidth="1" fitToHeight="0" orientation="portrait" usePrinterDefaults="1" r:id="rId1"/>
  <headerFooter alignWithMargins="0">
    <oddHeader>&amp;L&amp;18別紙</oddHeader>
  </headerFooter>
  <rowBreaks count="1" manualBreakCount="1">
    <brk id="55" min="1" max="12"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収支報告書</vt:lpstr>
      <vt:lpstr>細目諸様式</vt:lpstr>
      <vt:lpstr>資料1.参加者及び面積</vt:lpstr>
      <vt:lpstr>資料2.内訳</vt:lpstr>
      <vt:lpstr>資料3.個人の所得内訳</vt:lpstr>
      <vt:lpstr>資料4.減価償却内訳</vt:lpstr>
      <vt:lpstr>資料5.減価償却費個別内訳</vt:lpstr>
      <vt:lpstr>別紙.個人所得計算表</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八田 裕貴</cp:lastModifiedBy>
  <cp:lastPrinted>2021-12-21T08:24:46Z</cp:lastPrinted>
  <dcterms:created xsi:type="dcterms:W3CDTF">2022-12-15T12:23:22Z</dcterms:created>
  <dcterms:modified xsi:type="dcterms:W3CDTF">2024-12-10T00:02:59Z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5.0.1.0</vt:lpwstr>
      <vt:lpwstr>5.0.2.0</vt:lpwstr>
      <vt:lpwstr>5.0.5.0</vt:lpwstr>
    </vt:vector>
  </property>
  <property fmtid="{DCFEDD21-7773-49B2-8022-6FC58DB5260B}" pid="3" name="LastSavedVersion">
    <vt:lpwstr>5.0.5.0</vt:lpwstr>
  </property>
  <property fmtid="{DCFEDD21-7773-49B2-8022-6FC58DB5260B}" pid="4" name="LastSavedDate">
    <vt:filetime>2024-12-10T00:02:59Z</vt:filetime>
  </property>
</Properties>
</file>