
<file path=[Content_Types].xml><?xml version="1.0" encoding="utf-8"?>
<Types xmlns="http://schemas.openxmlformats.org/package/2006/content-types">
  <Default Extension="bin" ContentType="application/vnd.openxmlformats-officedocument.oleObject"/>
  <Default Extension="emf" ContentType="image/x-emf"/>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printerSettings/printerSettings1.bin" ContentType="application/vnd.openxmlformats-officedocument.spreadsheetml.printerSettings"/>
  <Override PartName="/xl/printerSettings/printerSettings10.bin" ContentType="application/vnd.openxmlformats-officedocument.spreadsheetml.printerSettings"/>
  <Override PartName="/xl/printerSettings/printerSettings11.bin" ContentType="application/vnd.openxmlformats-officedocument.spreadsheetml.printerSettings"/>
  <Override PartName="/xl/printerSettings/printerSettings12.bin" ContentType="application/vnd.openxmlformats-officedocument.spreadsheetml.printerSettings"/>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rinterSettings/printerSettings6.bin" ContentType="application/vnd.openxmlformats-officedocument.spreadsheetml.printerSettings"/>
  <Override PartName="/xl/printerSettings/printerSettings7.bin" ContentType="application/vnd.openxmlformats-officedocument.spreadsheetml.printerSettings"/>
  <Override PartName="/xl/printerSettings/printerSettings8.bin" ContentType="application/vnd.openxmlformats-officedocument.spreadsheetml.printerSettings"/>
  <Override PartName="/xl/printerSettings/printerSettings9.bin" ContentType="application/vnd.openxmlformats-officedocument.spreadsheetml.printerSettings"/>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60" yWindow="510" windowWidth="28215" windowHeight="14535" tabRatio="891"/>
  </bookViews>
  <sheets>
    <sheet name="2（収支報告書)" sheetId="102" r:id="rId1"/>
    <sheet name="2-1（収支報告書　記載例）" sheetId="109" r:id="rId2"/>
    <sheet name="３(執行状況調書)" sheetId="103" r:id="rId3"/>
    <sheet name="３-1(執行状況調書　記載例)" sheetId="48" r:id="rId4"/>
    <sheet name="４（金銭出納簿・年）" sheetId="98" r:id="rId5"/>
    <sheet name="４（金銭出納簿・年・5期以前）" sheetId="110" r:id="rId6"/>
    <sheet name="17-1（所得細目表)" sheetId="105" r:id="rId7"/>
    <sheet name="17-1（所得細目表　記載例）" sheetId="49" r:id="rId8"/>
    <sheet name="18-1（所得計算表)" sheetId="106" r:id="rId9"/>
    <sheet name="18-1（所得計算表　記載例）" sheetId="50" r:id="rId10"/>
    <sheet name="19-1（減価償却内訳）" sheetId="124" r:id="rId11"/>
    <sheet name="19-1（減価償却内訳　記載例）" sheetId="51" r:id="rId12"/>
  </sheets>
  <definedNames>
    <definedName name="F.施設">#REF!</definedName>
    <definedName name="F.施設" localSheetId="4">#REF!</definedName>
    <definedName name="D.農村環境保全活動のテーマ">#REF!</definedName>
    <definedName name="D.農村環境保全活動のテーマ" localSheetId="4">#REF!</definedName>
    <definedName name="A.■か□">#REF!</definedName>
    <definedName name="A.■か□" localSheetId="4">#REF!</definedName>
    <definedName name="ｈ">#REF!</definedName>
    <definedName name="ｈ" localSheetId="4">#REF!</definedName>
    <definedName name="G.単位">#REF!</definedName>
    <definedName name="G.単位" localSheetId="4">#REF!</definedName>
    <definedName name="ｐ">#REF!</definedName>
    <definedName name="ｐ" localSheetId="4">#REF!</definedName>
    <definedName name="B.○か空白">#REF!</definedName>
    <definedName name="B.○か空白" localSheetId="4">#REF!</definedName>
    <definedName name="Ｊ.金銭出納簿の収支の分類">#REF!</definedName>
    <definedName name="Ｊ.金銭出納簿の収支の分類" localSheetId="4">#REF!</definedName>
    <definedName name="E.高度な保全活動">#REF!</definedName>
    <definedName name="E.高度な保全活動" localSheetId="4">#REF!</definedName>
    <definedName name="Ｃ1.計画欄">#REF!</definedName>
    <definedName name="Ｃ1.計画欄" localSheetId="4">#REF!</definedName>
    <definedName name="Ｃ2.実施欄">#REF!</definedName>
    <definedName name="Ｃ2.実施欄" localSheetId="4">#REF!</definedName>
    <definedName name="H1.構成員一覧の分類_農業者">#REF!</definedName>
    <definedName name="H1.構成員一覧の分類_農業者" localSheetId="4">#REF!</definedName>
    <definedName name="H2.構成員一覧の分類_農業者以外個人">#REF!</definedName>
    <definedName name="H2.構成員一覧の分類_農業者以外個人" localSheetId="4">#REF!</definedName>
    <definedName name="H3.構成員一覧の分類_農業者以外団体">#REF!</definedName>
    <definedName name="H3.構成員一覧の分類_農業者以外団体" localSheetId="4">#REF!</definedName>
    <definedName name="Ｉ.金銭出納簿の区分">#REF!</definedName>
    <definedName name="Ｉ.金銭出納簿の区分" localSheetId="4">#REF!</definedName>
    <definedName name="ｊ">#REF!</definedName>
    <definedName name="ｊ" localSheetId="4">#REF!</definedName>
    <definedName name="K.農村環境保全活動">#REF!</definedName>
    <definedName name="K.農村環境保全活動" localSheetId="4">#REF!</definedName>
    <definedName name="ｌ">#REF!</definedName>
    <definedName name="ｌ" localSheetId="4">#REF!</definedName>
    <definedName name="L.増進活動">#REF!</definedName>
    <definedName name="L.増進活動" localSheetId="4">#REF!</definedName>
    <definedName name="M.長寿命化">#REF!</definedName>
    <definedName name="M.長寿命化" localSheetId="4">#REF!</definedName>
    <definedName name="あ">#REF!</definedName>
    <definedName name="あ" localSheetId="4">#REF!</definedName>
    <definedName name="い">#REF!</definedName>
    <definedName name="い" localSheetId="4">#REF!</definedName>
    <definedName name="会員">#REF!</definedName>
    <definedName name="会員" localSheetId="4">#REF!</definedName>
    <definedName name="記入例">#REF!</definedName>
    <definedName name="記入例" localSheetId="4">#REF!</definedName>
    <definedName name="F.施設" localSheetId="0">#REF!</definedName>
    <definedName name="D.農村環境保全活動のテーマ" localSheetId="0">#REF!</definedName>
    <definedName name="A.■か□" localSheetId="0">#REF!</definedName>
    <definedName name="ｈ" localSheetId="0">#REF!</definedName>
    <definedName name="G.単位" localSheetId="0">#REF!</definedName>
    <definedName name="ｐ" localSheetId="0">#REF!</definedName>
    <definedName name="B.○か空白" localSheetId="0">#REF!</definedName>
    <definedName name="Ｊ.金銭出納簿の収支の分類" localSheetId="0">#REF!</definedName>
    <definedName name="E.高度な保全活動" localSheetId="0">#REF!</definedName>
    <definedName name="Ｃ1.計画欄" localSheetId="0">#REF!</definedName>
    <definedName name="Ｃ2.実施欄" localSheetId="0">#REF!</definedName>
    <definedName name="H1.構成員一覧の分類_農業者" localSheetId="0">#REF!</definedName>
    <definedName name="H2.構成員一覧の分類_農業者以外個人" localSheetId="0">#REF!</definedName>
    <definedName name="H3.構成員一覧の分類_農業者以外団体" localSheetId="0">#REF!</definedName>
    <definedName name="Ｉ.金銭出納簿の区分" localSheetId="0">#REF!</definedName>
    <definedName name="ｊ" localSheetId="0">#REF!</definedName>
    <definedName name="K.農村環境保全活動" localSheetId="0">#REF!</definedName>
    <definedName name="ｌ" localSheetId="0">#REF!</definedName>
    <definedName name="L.増進活動" localSheetId="0">#REF!</definedName>
    <definedName name="M.長寿命化" localSheetId="0">#REF!</definedName>
    <definedName name="あ" localSheetId="0">#REF!</definedName>
    <definedName name="い" localSheetId="0">#REF!</definedName>
    <definedName name="会員" localSheetId="0">#REF!</definedName>
    <definedName name="記入例" localSheetId="0">#REF!</definedName>
    <definedName name="F.施設" localSheetId="2">#REF!</definedName>
    <definedName name="D.農村環境保全活動のテーマ" localSheetId="2">#REF!</definedName>
    <definedName name="A.■か□" localSheetId="2">#REF!</definedName>
    <definedName name="ｈ" localSheetId="2">#REF!</definedName>
    <definedName name="G.単位" localSheetId="2">#REF!</definedName>
    <definedName name="ｐ" localSheetId="2">#REF!</definedName>
    <definedName name="B.○か空白" localSheetId="2">#REF!</definedName>
    <definedName name="Ｊ.金銭出納簿の収支の分類" localSheetId="2">#REF!</definedName>
    <definedName name="E.高度な保全活動" localSheetId="2">#REF!</definedName>
    <definedName name="Ｃ1.計画欄" localSheetId="2">#REF!</definedName>
    <definedName name="Ｃ2.実施欄" localSheetId="2">#REF!</definedName>
    <definedName name="H1.構成員一覧の分類_農業者" localSheetId="2">#REF!</definedName>
    <definedName name="H2.構成員一覧の分類_農業者以外個人" localSheetId="2">#REF!</definedName>
    <definedName name="H3.構成員一覧の分類_農業者以外団体" localSheetId="2">#REF!</definedName>
    <definedName name="Ｉ.金銭出納簿の区分" localSheetId="2">#REF!</definedName>
    <definedName name="ｊ" localSheetId="2">#REF!</definedName>
    <definedName name="K.農村環境保全活動" localSheetId="2">#REF!</definedName>
    <definedName name="ｌ" localSheetId="2">#REF!</definedName>
    <definedName name="L.増進活動" localSheetId="2">#REF!</definedName>
    <definedName name="M.長寿命化" localSheetId="2">#REF!</definedName>
    <definedName name="あ" localSheetId="2">#REF!</definedName>
    <definedName name="い" localSheetId="2">#REF!</definedName>
    <definedName name="会員" localSheetId="2">#REF!</definedName>
    <definedName name="記入例" localSheetId="2">#REF!</definedName>
    <definedName name="F.施設" localSheetId="6">#REF!</definedName>
    <definedName name="D.農村環境保全活動のテーマ" localSheetId="6">#REF!</definedName>
    <definedName name="A.■か□" localSheetId="6">#REF!</definedName>
    <definedName name="ｈ" localSheetId="6">#REF!</definedName>
    <definedName name="G.単位" localSheetId="6">#REF!</definedName>
    <definedName name="ｐ" localSheetId="6">#REF!</definedName>
    <definedName name="B.○か空白" localSheetId="6">#REF!</definedName>
    <definedName name="Ｊ.金銭出納簿の収支の分類" localSheetId="6">#REF!</definedName>
    <definedName name="E.高度な保全活動" localSheetId="6">#REF!</definedName>
    <definedName name="Ｃ1.計画欄" localSheetId="6">#REF!</definedName>
    <definedName name="Ｃ2.実施欄" localSheetId="6">#REF!</definedName>
    <definedName name="H1.構成員一覧の分類_農業者" localSheetId="6">#REF!</definedName>
    <definedName name="H2.構成員一覧の分類_農業者以外個人" localSheetId="6">#REF!</definedName>
    <definedName name="H3.構成員一覧の分類_農業者以外団体" localSheetId="6">#REF!</definedName>
    <definedName name="Ｉ.金銭出納簿の区分" localSheetId="6">#REF!</definedName>
    <definedName name="ｊ" localSheetId="6">#REF!</definedName>
    <definedName name="K.農村環境保全活動" localSheetId="6">#REF!</definedName>
    <definedName name="ｌ" localSheetId="6">#REF!</definedName>
    <definedName name="L.増進活動" localSheetId="6">#REF!</definedName>
    <definedName name="M.長寿命化" localSheetId="6">#REF!</definedName>
    <definedName name="あ" localSheetId="6">#REF!</definedName>
    <definedName name="い" localSheetId="6">#REF!</definedName>
    <definedName name="会員" localSheetId="6">#REF!</definedName>
    <definedName name="記入例" localSheetId="6">#REF!</definedName>
    <definedName name="F.施設" localSheetId="8">#REF!</definedName>
    <definedName name="D.農村環境保全活動のテーマ" localSheetId="8">#REF!</definedName>
    <definedName name="A.■か□" localSheetId="8">#REF!</definedName>
    <definedName name="ｈ" localSheetId="8">#REF!</definedName>
    <definedName name="G.単位" localSheetId="8">#REF!</definedName>
    <definedName name="ｐ" localSheetId="8">#REF!</definedName>
    <definedName name="B.○か空白" localSheetId="8">#REF!</definedName>
    <definedName name="Ｊ.金銭出納簿の収支の分類" localSheetId="8">#REF!</definedName>
    <definedName name="E.高度な保全活動" localSheetId="8">#REF!</definedName>
    <definedName name="Ｃ1.計画欄" localSheetId="8">#REF!</definedName>
    <definedName name="Ｃ2.実施欄" localSheetId="8">#REF!</definedName>
    <definedName name="H1.構成員一覧の分類_農業者" localSheetId="8">#REF!</definedName>
    <definedName name="H2.構成員一覧の分類_農業者以外個人" localSheetId="8">#REF!</definedName>
    <definedName name="H3.構成員一覧の分類_農業者以外団体" localSheetId="8">#REF!</definedName>
    <definedName name="Ｉ.金銭出納簿の区分" localSheetId="8">#REF!</definedName>
    <definedName name="ｊ" localSheetId="8">#REF!</definedName>
    <definedName name="K.農村環境保全活動" localSheetId="8">#REF!</definedName>
    <definedName name="ｌ" localSheetId="8">#REF!</definedName>
    <definedName name="L.増進活動" localSheetId="8">#REF!</definedName>
    <definedName name="M.長寿命化" localSheetId="8">#REF!</definedName>
    <definedName name="あ" localSheetId="8">#REF!</definedName>
    <definedName name="い" localSheetId="8">#REF!</definedName>
    <definedName name="会員" localSheetId="8">#REF!</definedName>
    <definedName name="記入例" localSheetId="8">#REF!</definedName>
    <definedName name="F.施設" localSheetId="1">#REF!</definedName>
    <definedName name="D.農村環境保全活動のテーマ" localSheetId="1">#REF!</definedName>
    <definedName name="A.■か□" localSheetId="1">#REF!</definedName>
    <definedName name="ｈ" localSheetId="1">#REF!</definedName>
    <definedName name="G.単位" localSheetId="1">#REF!</definedName>
    <definedName name="ｐ" localSheetId="1">#REF!</definedName>
    <definedName name="B.○か空白" localSheetId="1">#REF!</definedName>
    <definedName name="Ｊ.金銭出納簿の収支の分類" localSheetId="1">#REF!</definedName>
    <definedName name="E.高度な保全活動" localSheetId="1">#REF!</definedName>
    <definedName name="Ｃ1.計画欄" localSheetId="1">#REF!</definedName>
    <definedName name="Ｃ2.実施欄" localSheetId="1">#REF!</definedName>
    <definedName name="H1.構成員一覧の分類_農業者" localSheetId="1">#REF!</definedName>
    <definedName name="H2.構成員一覧の分類_農業者以外個人" localSheetId="1">#REF!</definedName>
    <definedName name="H3.構成員一覧の分類_農業者以外団体" localSheetId="1">#REF!</definedName>
    <definedName name="Ｉ.金銭出納簿の区分" localSheetId="1">#REF!</definedName>
    <definedName name="ｊ" localSheetId="1">#REF!</definedName>
    <definedName name="K.農村環境保全活動" localSheetId="1">#REF!</definedName>
    <definedName name="ｌ" localSheetId="1">#REF!</definedName>
    <definedName name="L.増進活動" localSheetId="1">#REF!</definedName>
    <definedName name="M.長寿命化" localSheetId="1">#REF!</definedName>
    <definedName name="あ" localSheetId="1">#REF!</definedName>
    <definedName name="い" localSheetId="1">#REF!</definedName>
    <definedName name="会員" localSheetId="1">#REF!</definedName>
    <definedName name="記入例" localSheetId="1">#REF!</definedName>
    <definedName name="F.施設" localSheetId="5">#REF!</definedName>
    <definedName name="D.農村環境保全活動のテーマ" localSheetId="5">#REF!</definedName>
    <definedName name="A.■か□" localSheetId="5">#REF!</definedName>
    <definedName name="ｈ" localSheetId="5">#REF!</definedName>
    <definedName name="G.単位" localSheetId="5">#REF!</definedName>
    <definedName name="ｐ" localSheetId="5">#REF!</definedName>
    <definedName name="B.○か空白" localSheetId="5">#REF!</definedName>
    <definedName name="Ｊ.金銭出納簿の収支の分類" localSheetId="5">#REF!</definedName>
    <definedName name="E.高度な保全活動" localSheetId="5">#REF!</definedName>
    <definedName name="Ｃ1.計画欄" localSheetId="5">#REF!</definedName>
    <definedName name="Ｃ2.実施欄" localSheetId="5">#REF!</definedName>
    <definedName name="H1.構成員一覧の分類_農業者" localSheetId="5">#REF!</definedName>
    <definedName name="H2.構成員一覧の分類_農業者以外個人" localSheetId="5">#REF!</definedName>
    <definedName name="H3.構成員一覧の分類_農業者以外団体" localSheetId="5">#REF!</definedName>
    <definedName name="Ｉ.金銭出納簿の区分" localSheetId="5">#REF!</definedName>
    <definedName name="ｊ" localSheetId="5">#REF!</definedName>
    <definedName name="K.農村環境保全活動" localSheetId="5">#REF!</definedName>
    <definedName name="ｌ" localSheetId="5">#REF!</definedName>
    <definedName name="L.増進活動" localSheetId="5">#REF!</definedName>
    <definedName name="M.長寿命化" localSheetId="5">#REF!</definedName>
    <definedName name="あ" localSheetId="5">#REF!</definedName>
    <definedName name="い" localSheetId="5">#REF!</definedName>
    <definedName name="会員" localSheetId="5">#REF!</definedName>
    <definedName name="記入例" localSheetId="5">#REF!</definedName>
    <definedName name="F.施設" localSheetId="10">#REF!</definedName>
    <definedName name="D.農村環境保全活動のテーマ" localSheetId="10">#REF!</definedName>
    <definedName name="A.■か□" localSheetId="10">#REF!</definedName>
    <definedName name="ｈ" localSheetId="10">#REF!</definedName>
    <definedName name="G.単位" localSheetId="10">#REF!</definedName>
    <definedName name="ｐ" localSheetId="10">#REF!</definedName>
    <definedName name="B.○か空白" localSheetId="10">#REF!</definedName>
    <definedName name="Ｊ.金銭出納簿の収支の分類" localSheetId="10">#REF!</definedName>
    <definedName name="E.高度な保全活動" localSheetId="10">#REF!</definedName>
    <definedName name="Ｃ1.計画欄" localSheetId="10">#REF!</definedName>
    <definedName name="Ｃ2.実施欄" localSheetId="10">#REF!</definedName>
    <definedName name="H1.構成員一覧の分類_農業者" localSheetId="10">#REF!</definedName>
    <definedName name="H2.構成員一覧の分類_農業者以外個人" localSheetId="10">#REF!</definedName>
    <definedName name="H3.構成員一覧の分類_農業者以外団体" localSheetId="10">#REF!</definedName>
    <definedName name="Ｉ.金銭出納簿の区分" localSheetId="10">#REF!</definedName>
    <definedName name="ｊ" localSheetId="10">#REF!</definedName>
    <definedName name="K.農村環境保全活動" localSheetId="10">#REF!</definedName>
    <definedName name="ｌ" localSheetId="10">#REF!</definedName>
    <definedName name="L.増進活動" localSheetId="10">#REF!</definedName>
    <definedName name="M.長寿命化" localSheetId="10">#REF!</definedName>
    <definedName name="あ" localSheetId="10">#REF!</definedName>
    <definedName name="い" localSheetId="10">#REF!</definedName>
    <definedName name="会員" localSheetId="10">#REF!</definedName>
    <definedName name="記入例" localSheetId="10">#REF!</definedName>
    <definedName name="_xlnm.Print_Area" localSheetId="3">'３-1(執行状況調書　記載例)'!$A$1:$T$47</definedName>
    <definedName name="_xlnm.Print_Titles" localSheetId="3">'３-1(執行状況調書　記載例)'!$3:$7</definedName>
    <definedName name="_xlnm.Print_Area" localSheetId="7">'17-1（所得細目表　記載例）'!$A$1:$M$35</definedName>
    <definedName name="_xlnm.Print_Titles" localSheetId="7">'17-1（所得細目表　記載例）'!$2:$7</definedName>
    <definedName name="_xlnm.Print_Area" localSheetId="9">'18-1（所得計算表　記載例）'!$A$1:$M$168</definedName>
    <definedName name="_xlnm.Print_Area" localSheetId="11">'19-1（減価償却内訳　記載例）'!$H$1:$AY$77</definedName>
    <definedName name="_xlnm.Print_Area" localSheetId="4">'４（金銭出納簿・年）'!$A$1:$S$29</definedName>
    <definedName name="_xlnm.Print_Area" localSheetId="0">'2（収支報告書)'!$A$1:$F$87</definedName>
    <definedName name="_xlnm.Print_Area" localSheetId="2">'３(執行状況調書)'!$A$1:$T$47</definedName>
    <definedName name="_xlnm.Print_Titles" localSheetId="2">'３(執行状況調書)'!$3:$7</definedName>
    <definedName name="_xlnm.Print_Area" localSheetId="6">'17-1（所得細目表)'!$A$1:$M$31</definedName>
    <definedName name="_xlnm.Print_Titles" localSheetId="6">'17-1（所得細目表)'!$2:$7</definedName>
    <definedName name="_xlnm.Print_Area" localSheetId="8">'18-1（所得計算表)'!$A$1:$M$84</definedName>
    <definedName name="_xlnm.Print_Area" localSheetId="1">'2-1（収支報告書　記載例）'!$A$1:$F$90</definedName>
    <definedName name="_xlnm.Print_Area" localSheetId="5">'４（金銭出納簿・年・5期以前）'!$A$1:$S$29</definedName>
    <definedName name="_xlnm.Print_Area" localSheetId="10">'19-1（減価償却内訳）'!$H$1:$AY$77</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<sst xmlns="http://schemas.openxmlformats.org/spreadsheetml/2006/main" xmlns:r="http://schemas.openxmlformats.org/officeDocument/2006/relationships" count="342" uniqueCount="342">
  <si>
    <t>合　計</t>
    <rPh sb="0" eb="1">
      <t>ゴウ</t>
    </rPh>
    <rPh sb="2" eb="3">
      <t>ケイ</t>
    </rPh>
    <phoneticPr fontId="29"/>
  </si>
  <si>
    <t>収　入</t>
    <rPh sb="0" eb="1">
      <t>オサム</t>
    </rPh>
    <rPh sb="2" eb="3">
      <t>イ</t>
    </rPh>
    <phoneticPr fontId="29"/>
  </si>
  <si>
    <t>病中害共同防除</t>
    <rPh sb="0" eb="2">
      <t>ビョウチュウ</t>
    </rPh>
    <rPh sb="2" eb="3">
      <t>ガイ</t>
    </rPh>
    <rPh sb="3" eb="5">
      <t>キョウドウ</t>
    </rPh>
    <rPh sb="5" eb="7">
      <t>ボウジョ</t>
    </rPh>
    <phoneticPr fontId="29"/>
  </si>
  <si>
    <t>役員報酬</t>
    <rPh sb="0" eb="2">
      <t>ヤクイン</t>
    </rPh>
    <rPh sb="2" eb="4">
      <t>ホウシュウ</t>
    </rPh>
    <phoneticPr fontId="29"/>
  </si>
  <si>
    <t>協定No.</t>
    <rPh sb="0" eb="2">
      <t>キョウテイ</t>
    </rPh>
    <phoneticPr fontId="7"/>
  </si>
  <si>
    <t>法人設立関係費</t>
    <rPh sb="0" eb="2">
      <t>ホウジン</t>
    </rPh>
    <rPh sb="2" eb="4">
      <t>セツリツ</t>
    </rPh>
    <rPh sb="4" eb="7">
      <t>カンケイヒ</t>
    </rPh>
    <phoneticPr fontId="7"/>
  </si>
  <si>
    <t>収 入
（円）</t>
    <rPh sb="0" eb="1">
      <t>オサム</t>
    </rPh>
    <rPh sb="2" eb="3">
      <t>ニュウ</t>
    </rPh>
    <rPh sb="5" eb="6">
      <t>エン</t>
    </rPh>
    <phoneticPr fontId="29"/>
  </si>
  <si>
    <t>取得年月</t>
    <rPh sb="0" eb="2">
      <t>シュトク</t>
    </rPh>
    <rPh sb="2" eb="3">
      <t>ネン</t>
    </rPh>
    <rPh sb="3" eb="4">
      <t>ガツ</t>
    </rPh>
    <phoneticPr fontId="62"/>
  </si>
  <si>
    <t>鳥獣被害防止対策費</t>
    <rPh sb="0" eb="2">
      <t>チョウジュウ</t>
    </rPh>
    <rPh sb="2" eb="4">
      <t>ヒガイ</t>
    </rPh>
    <rPh sb="4" eb="6">
      <t>ボウシ</t>
    </rPh>
    <rPh sb="6" eb="8">
      <t>タイサク</t>
    </rPh>
    <rPh sb="8" eb="9">
      <t>ヒ</t>
    </rPh>
    <phoneticPr fontId="29"/>
  </si>
  <si>
    <t>農業使用割合%</t>
    <rPh sb="0" eb="2">
      <t>ノウギョウ</t>
    </rPh>
    <rPh sb="2" eb="4">
      <t>シヨウ</t>
    </rPh>
    <rPh sb="4" eb="6">
      <t>ワリアイ</t>
    </rPh>
    <phoneticPr fontId="62"/>
  </si>
  <si>
    <t>必要経費に該当</t>
    <rPh sb="0" eb="2">
      <t>ヒツヨウ</t>
    </rPh>
    <rPh sb="2" eb="4">
      <t>ケイヒ</t>
    </rPh>
    <rPh sb="5" eb="7">
      <t>ガイトウ</t>
    </rPh>
    <phoneticPr fontId="29"/>
  </si>
  <si>
    <t>日付</t>
    <rPh sb="0" eb="2">
      <t>ヒヅケ</t>
    </rPh>
    <phoneticPr fontId="29"/>
  </si>
  <si>
    <t>当年購入の減価償却資産</t>
    <rPh sb="0" eb="2">
      <t>トウネン</t>
    </rPh>
    <rPh sb="2" eb="4">
      <t>コウニュウ</t>
    </rPh>
    <rPh sb="5" eb="7">
      <t>ゲンカ</t>
    </rPh>
    <rPh sb="7" eb="9">
      <t>ショウキャク</t>
    </rPh>
    <rPh sb="9" eb="11">
      <t>シサン</t>
    </rPh>
    <phoneticPr fontId="62"/>
  </si>
  <si>
    <t>農地管理費</t>
    <rPh sb="0" eb="2">
      <t>ノウチ</t>
    </rPh>
    <rPh sb="2" eb="5">
      <t>カンリヒ</t>
    </rPh>
    <phoneticPr fontId="29"/>
  </si>
  <si>
    <t>支出（円）</t>
    <rPh sb="0" eb="2">
      <t>シシュツ</t>
    </rPh>
    <rPh sb="3" eb="4">
      <t>エン</t>
    </rPh>
    <phoneticPr fontId="29"/>
  </si>
  <si>
    <t>その他</t>
    <rPh sb="2" eb="3">
      <t>タ</t>
    </rPh>
    <phoneticPr fontId="29"/>
  </si>
  <si>
    <t>草刈り機</t>
    <rPh sb="0" eb="2">
      <t>クサカ</t>
    </rPh>
    <rPh sb="3" eb="4">
      <t>キ</t>
    </rPh>
    <phoneticPr fontId="29"/>
  </si>
  <si>
    <t>協定書第５の３の活動を実施するのに要した経費</t>
    <rPh sb="0" eb="3">
      <t>キョウテイショ</t>
    </rPh>
    <rPh sb="3" eb="4">
      <t>ダイ</t>
    </rPh>
    <rPh sb="8" eb="10">
      <t>カツドウ</t>
    </rPh>
    <rPh sb="11" eb="13">
      <t>ジッシ</t>
    </rPh>
    <rPh sb="17" eb="18">
      <t>ヨウ</t>
    </rPh>
    <rPh sb="20" eb="22">
      <t>ケイヒ</t>
    </rPh>
    <phoneticPr fontId="29"/>
  </si>
  <si>
    <t>残 高
（円）</t>
    <rPh sb="0" eb="1">
      <t>ザン</t>
    </rPh>
    <rPh sb="2" eb="3">
      <t>タカ</t>
    </rPh>
    <rPh sb="5" eb="6">
      <t>エン</t>
    </rPh>
    <phoneticPr fontId="29"/>
  </si>
  <si>
    <t>記 入 内 容</t>
    <rPh sb="0" eb="1">
      <t>キ</t>
    </rPh>
    <rPh sb="2" eb="3">
      <t>ニュウ</t>
    </rPh>
    <rPh sb="4" eb="5">
      <t>ウチ</t>
    </rPh>
    <rPh sb="6" eb="7">
      <t>ヨウ</t>
    </rPh>
    <phoneticPr fontId="29"/>
  </si>
  <si>
    <t>事務消耗品、振込手数料等</t>
    <rPh sb="0" eb="2">
      <t>ジム</t>
    </rPh>
    <rPh sb="2" eb="4">
      <t>ショウモウ</t>
    </rPh>
    <rPh sb="4" eb="5">
      <t>ヒン</t>
    </rPh>
    <rPh sb="6" eb="8">
      <t>フリコミ</t>
    </rPh>
    <rPh sb="8" eb="11">
      <t>テスウリョウ</t>
    </rPh>
    <rPh sb="11" eb="12">
      <t>トウ</t>
    </rPh>
    <phoneticPr fontId="29"/>
  </si>
  <si>
    <t>領収書
番　号</t>
    <rPh sb="0" eb="3">
      <t>リョウシュウショ</t>
    </rPh>
    <rPh sb="4" eb="5">
      <t>バン</t>
    </rPh>
    <rPh sb="6" eb="7">
      <t>ゴウ</t>
    </rPh>
    <phoneticPr fontId="29"/>
  </si>
  <si>
    <t>内　　容</t>
    <rPh sb="0" eb="1">
      <t>ナイ</t>
    </rPh>
    <rPh sb="3" eb="4">
      <t>ヨウ</t>
    </rPh>
    <phoneticPr fontId="29"/>
  </si>
  <si>
    <t>個人配分</t>
    <rPh sb="0" eb="2">
      <t>コジン</t>
    </rPh>
    <rPh sb="2" eb="4">
      <t>ハイブン</t>
    </rPh>
    <phoneticPr fontId="29"/>
  </si>
  <si>
    <t>当年</t>
    <rPh sb="0" eb="2">
      <t>トウネン</t>
    </rPh>
    <phoneticPr fontId="62"/>
  </si>
  <si>
    <t>研修会等費</t>
    <rPh sb="0" eb="3">
      <t>ケンシュウカイ</t>
    </rPh>
    <rPh sb="3" eb="4">
      <t>トウ</t>
    </rPh>
    <rPh sb="4" eb="5">
      <t>ヒ</t>
    </rPh>
    <phoneticPr fontId="29"/>
  </si>
  <si>
    <t>農　地
管理費</t>
    <rPh sb="0" eb="1">
      <t>ノウ</t>
    </rPh>
    <rPh sb="2" eb="3">
      <t>チ</t>
    </rPh>
    <rPh sb="4" eb="7">
      <t>カンリヒ</t>
    </rPh>
    <phoneticPr fontId="29"/>
  </si>
  <si>
    <t>受領印</t>
    <rPh sb="0" eb="3">
      <t>ジュリョウイン</t>
    </rPh>
    <phoneticPr fontId="29"/>
  </si>
  <si>
    <t>１人当りの所要額</t>
    <rPh sb="1" eb="2">
      <t>ヒト</t>
    </rPh>
    <rPh sb="2" eb="3">
      <t>ア</t>
    </rPh>
    <rPh sb="5" eb="7">
      <t>ショヨウ</t>
    </rPh>
    <rPh sb="7" eb="8">
      <t>ガク</t>
    </rPh>
    <phoneticPr fontId="62"/>
  </si>
  <si>
    <t>島根　４郎</t>
    <rPh sb="0" eb="2">
      <t>シマネ</t>
    </rPh>
    <rPh sb="4" eb="5">
      <t>ロウ</t>
    </rPh>
    <phoneticPr fontId="7"/>
  </si>
  <si>
    <t>当年必要経費となる減価償却費の合計</t>
    <rPh sb="0" eb="2">
      <t>トウネン</t>
    </rPh>
    <rPh sb="2" eb="4">
      <t>ヒツヨウ</t>
    </rPh>
    <rPh sb="4" eb="6">
      <t>ケイヒ</t>
    </rPh>
    <rPh sb="9" eb="11">
      <t>ゲンカ</t>
    </rPh>
    <rPh sb="11" eb="13">
      <t>ショウキャク</t>
    </rPh>
    <rPh sb="13" eb="14">
      <t>ヒ</t>
    </rPh>
    <rPh sb="15" eb="17">
      <t>ゴウケイ</t>
    </rPh>
    <phoneticPr fontId="62"/>
  </si>
  <si>
    <t>支　　　　　　　　　　出</t>
    <rPh sb="0" eb="1">
      <t>ササ</t>
    </rPh>
    <rPh sb="11" eb="12">
      <t>デ</t>
    </rPh>
    <phoneticPr fontId="29"/>
  </si>
  <si>
    <t>減価償却費(当年必要経費)</t>
    <rPh sb="0" eb="2">
      <t>ゲンカ</t>
    </rPh>
    <rPh sb="2" eb="5">
      <t>ショウキャクヒ</t>
    </rPh>
    <rPh sb="6" eb="8">
      <t>トウネン</t>
    </rPh>
    <rPh sb="8" eb="10">
      <t>ヒツヨウ</t>
    </rPh>
    <rPh sb="10" eb="12">
      <t>ケイヒ</t>
    </rPh>
    <phoneticPr fontId="62"/>
  </si>
  <si>
    <t>⑦</t>
  </si>
  <si>
    <t xml:space="preserve">    （2）共同取組活動支出額</t>
  </si>
  <si>
    <t>イベント当日</t>
    <rPh sb="4" eb="6">
      <t>トウジツ</t>
    </rPh>
    <phoneticPr fontId="7"/>
  </si>
  <si>
    <t>個人配分額</t>
    <rPh sb="0" eb="2">
      <t>コジン</t>
    </rPh>
    <rPh sb="2" eb="4">
      <t>ハイブン</t>
    </rPh>
    <rPh sb="4" eb="5">
      <t>ガク</t>
    </rPh>
    <phoneticPr fontId="29"/>
  </si>
  <si>
    <t>単年減価償却費</t>
    <rPh sb="0" eb="1">
      <t>タン</t>
    </rPh>
    <rPh sb="1" eb="2">
      <t>ドシ</t>
    </rPh>
    <rPh sb="2" eb="4">
      <t>ゲンカ</t>
    </rPh>
    <rPh sb="4" eb="7">
      <t>ショウキャクヒ</t>
    </rPh>
    <phoneticPr fontId="62"/>
  </si>
  <si>
    <t>土地利用調整関係費</t>
    <rPh sb="0" eb="4">
      <t>トチリヨウ</t>
    </rPh>
    <rPh sb="4" eb="6">
      <t>チョウセイ</t>
    </rPh>
    <rPh sb="6" eb="9">
      <t>カンケイヒ</t>
    </rPh>
    <phoneticPr fontId="7"/>
  </si>
  <si>
    <t>協 定 名</t>
    <rPh sb="0" eb="1">
      <t>キョウ</t>
    </rPh>
    <rPh sb="2" eb="3">
      <t>サダム</t>
    </rPh>
    <rPh sb="4" eb="5">
      <t>メイ</t>
    </rPh>
    <phoneticPr fontId="29"/>
  </si>
  <si>
    <t>交付金</t>
    <rPh sb="0" eb="3">
      <t>コウフキン</t>
    </rPh>
    <phoneticPr fontId="29"/>
  </si>
  <si>
    <t>≪注意≫</t>
    <rPh sb="1" eb="3">
      <t>チュウイ</t>
    </rPh>
    <phoneticPr fontId="29"/>
  </si>
  <si>
    <t>２．上記支出は、共同取組活動として、協定書で定めた内容にあたるもの。</t>
    <rPh sb="2" eb="4">
      <t>ジョウキ</t>
    </rPh>
    <rPh sb="4" eb="6">
      <t>シシュツ</t>
    </rPh>
    <rPh sb="8" eb="10">
      <t>キョウドウ</t>
    </rPh>
    <rPh sb="10" eb="12">
      <t>トリクミ</t>
    </rPh>
    <rPh sb="12" eb="14">
      <t>カツドウ</t>
    </rPh>
    <rPh sb="18" eb="21">
      <t>キョウテイショ</t>
    </rPh>
    <rPh sb="22" eb="23">
      <t>サダ</t>
    </rPh>
    <rPh sb="25" eb="27">
      <t>ナイヨウ</t>
    </rPh>
    <phoneticPr fontId="29"/>
  </si>
  <si>
    <t>共同利用機械の購入・管理に要した経費</t>
    <rPh sb="0" eb="2">
      <t>キョウドウ</t>
    </rPh>
    <rPh sb="2" eb="4">
      <t>リヨウ</t>
    </rPh>
    <rPh sb="4" eb="6">
      <t>キカイ</t>
    </rPh>
    <rPh sb="7" eb="9">
      <t>コウニュウ</t>
    </rPh>
    <rPh sb="10" eb="12">
      <t>カンリ</t>
    </rPh>
    <rPh sb="13" eb="14">
      <t>ヨウ</t>
    </rPh>
    <rPh sb="16" eb="18">
      <t>ケイヒ</t>
    </rPh>
    <phoneticPr fontId="29"/>
  </si>
  <si>
    <t>R　　年中（令和　　年１月1日～令和　　年１２月末日）に交付された額</t>
    <rPh sb="3" eb="4">
      <t>ネン</t>
    </rPh>
    <rPh sb="4" eb="5">
      <t>チュウ</t>
    </rPh>
    <rPh sb="6" eb="7">
      <t>レイ</t>
    </rPh>
    <rPh sb="7" eb="8">
      <t>カズ</t>
    </rPh>
    <rPh sb="10" eb="11">
      <t>ネン</t>
    </rPh>
    <rPh sb="12" eb="13">
      <t>ガツ</t>
    </rPh>
    <rPh sb="14" eb="15">
      <t>ニチ</t>
    </rPh>
    <rPh sb="16" eb="18">
      <t>レイワ</t>
    </rPh>
    <rPh sb="20" eb="21">
      <t>ネン</t>
    </rPh>
    <rPh sb="23" eb="24">
      <t>ガツ</t>
    </rPh>
    <rPh sb="24" eb="26">
      <t>マツジツ</t>
    </rPh>
    <rPh sb="28" eb="30">
      <t>コウフ</t>
    </rPh>
    <rPh sb="33" eb="34">
      <t>ガク</t>
    </rPh>
    <phoneticPr fontId="29"/>
  </si>
  <si>
    <t xml:space="preserve"> ⑦ 共同利用施設整備等費</t>
    <rPh sb="3" eb="5">
      <t>キョウドウ</t>
    </rPh>
    <rPh sb="5" eb="7">
      <t>リヨウ</t>
    </rPh>
    <rPh sb="7" eb="9">
      <t>シセツ</t>
    </rPh>
    <rPh sb="9" eb="11">
      <t>セイビ</t>
    </rPh>
    <rPh sb="11" eb="12">
      <t>ナド</t>
    </rPh>
    <rPh sb="12" eb="13">
      <t>ヒ</t>
    </rPh>
    <phoneticPr fontId="29"/>
  </si>
  <si>
    <t>３．慰安旅行等の遊興費、宴会代、秋祭り助成等は共同取組活動の必要経費とは認められませんので、収支報告書に計上できません。支出が必要な場合には、協定参加者から必要な額を集金するなどした上で支払うことになります。</t>
    <rPh sb="2" eb="4">
      <t>イアン</t>
    </rPh>
    <rPh sb="4" eb="6">
      <t>リョコウ</t>
    </rPh>
    <rPh sb="6" eb="7">
      <t>トウ</t>
    </rPh>
    <rPh sb="8" eb="11">
      <t>ユウキョウヒ</t>
    </rPh>
    <rPh sb="12" eb="14">
      <t>エンカイ</t>
    </rPh>
    <rPh sb="14" eb="15">
      <t>ダイ</t>
    </rPh>
    <rPh sb="16" eb="17">
      <t>アキ</t>
    </rPh>
    <rPh sb="17" eb="18">
      <t>マツ</t>
    </rPh>
    <rPh sb="19" eb="21">
      <t>ジョセイ</t>
    </rPh>
    <rPh sb="21" eb="22">
      <t>トウ</t>
    </rPh>
    <rPh sb="23" eb="25">
      <t>キョウドウ</t>
    </rPh>
    <rPh sb="25" eb="27">
      <t>トリクミ</t>
    </rPh>
    <rPh sb="27" eb="29">
      <t>カツドウ</t>
    </rPh>
    <rPh sb="30" eb="32">
      <t>ヒツヨウ</t>
    </rPh>
    <rPh sb="32" eb="34">
      <t>ケイヒ</t>
    </rPh>
    <rPh sb="36" eb="37">
      <t>ミト</t>
    </rPh>
    <rPh sb="46" eb="48">
      <t>シュウシ</t>
    </rPh>
    <rPh sb="48" eb="51">
      <t>ホウコクショ</t>
    </rPh>
    <rPh sb="52" eb="54">
      <t>ケイジョウ</t>
    </rPh>
    <rPh sb="60" eb="62">
      <t>シシュツ</t>
    </rPh>
    <rPh sb="63" eb="65">
      <t>ヒツヨウ</t>
    </rPh>
    <rPh sb="66" eb="68">
      <t>バアイ</t>
    </rPh>
    <rPh sb="71" eb="73">
      <t>キョウテイ</t>
    </rPh>
    <rPh sb="73" eb="75">
      <t>サンカ</t>
    </rPh>
    <rPh sb="75" eb="76">
      <t>シャ</t>
    </rPh>
    <rPh sb="78" eb="80">
      <t>ヒツヨウ</t>
    </rPh>
    <rPh sb="81" eb="82">
      <t>ガク</t>
    </rPh>
    <rPh sb="83" eb="85">
      <t>シュウキン</t>
    </rPh>
    <rPh sb="91" eb="92">
      <t>ウエ</t>
    </rPh>
    <rPh sb="93" eb="95">
      <t>シハラ</t>
    </rPh>
    <phoneticPr fontId="29"/>
  </si>
  <si>
    <t>≪収入・支出科目≫</t>
    <rPh sb="1" eb="3">
      <t>シュウニュウ</t>
    </rPh>
    <rPh sb="4" eb="6">
      <t>シシュツ</t>
    </rPh>
    <rPh sb="6" eb="8">
      <t>カモク</t>
    </rPh>
    <phoneticPr fontId="29"/>
  </si>
  <si>
    <t>ⓑ １人当たり１０万円以上２０万円未満（償却中のものも全て記載）</t>
    <rPh sb="3" eb="4">
      <t>ヒト</t>
    </rPh>
    <rPh sb="4" eb="5">
      <t>ア</t>
    </rPh>
    <rPh sb="9" eb="11">
      <t>マンエン</t>
    </rPh>
    <rPh sb="11" eb="13">
      <t>イジョウ</t>
    </rPh>
    <rPh sb="15" eb="16">
      <t>マン</t>
    </rPh>
    <rPh sb="16" eb="19">
      <t>エンミマン</t>
    </rPh>
    <rPh sb="20" eb="22">
      <t>ショウキャク</t>
    </rPh>
    <rPh sb="22" eb="23">
      <t>チュウ</t>
    </rPh>
    <rPh sb="27" eb="28">
      <t>スベ</t>
    </rPh>
    <rPh sb="29" eb="31">
      <t>キサイ</t>
    </rPh>
    <phoneticPr fontId="62"/>
  </si>
  <si>
    <t>項目</t>
    <rPh sb="0" eb="2">
      <t>コウモク</t>
    </rPh>
    <phoneticPr fontId="29"/>
  </si>
  <si>
    <t>都市住民との交流促進関係費</t>
    <rPh sb="0" eb="2">
      <t>トシ</t>
    </rPh>
    <rPh sb="2" eb="4">
      <t>ジュウミン</t>
    </rPh>
    <rPh sb="6" eb="8">
      <t>コウリュウ</t>
    </rPh>
    <rPh sb="8" eb="10">
      <t>ソクシン</t>
    </rPh>
    <rPh sb="10" eb="13">
      <t>カンケイヒ</t>
    </rPh>
    <phoneticPr fontId="7"/>
  </si>
  <si>
    <t>具　体　例</t>
    <rPh sb="0" eb="1">
      <t>グ</t>
    </rPh>
    <rPh sb="2" eb="3">
      <t>カラダ</t>
    </rPh>
    <rPh sb="4" eb="5">
      <t>レイ</t>
    </rPh>
    <phoneticPr fontId="29"/>
  </si>
  <si>
    <t>日当、イノシシ防護トタン、防鳥ネット等の資材費</t>
    <rPh sb="0" eb="2">
      <t>ニットウ</t>
    </rPh>
    <rPh sb="7" eb="9">
      <t>ボウゴ</t>
    </rPh>
    <rPh sb="13" eb="14">
      <t>フセ</t>
    </rPh>
    <rPh sb="14" eb="15">
      <t>トリ</t>
    </rPh>
    <rPh sb="18" eb="19">
      <t>トウ</t>
    </rPh>
    <rPh sb="20" eb="22">
      <t>シザイ</t>
    </rPh>
    <rPh sb="22" eb="23">
      <t>ヒ</t>
    </rPh>
    <phoneticPr fontId="29"/>
  </si>
  <si>
    <t>差引計</t>
    <rPh sb="0" eb="2">
      <t>サシヒキ</t>
    </rPh>
    <rPh sb="2" eb="3">
      <t>ケイ</t>
    </rPh>
    <phoneticPr fontId="29"/>
  </si>
  <si>
    <t>令和　　年度交付金</t>
    <rPh sb="0" eb="2">
      <t>レイワ</t>
    </rPh>
    <rPh sb="4" eb="5">
      <t>ネン</t>
    </rPh>
    <rPh sb="6" eb="9">
      <t>コウフキン</t>
    </rPh>
    <phoneticPr fontId="29"/>
  </si>
  <si>
    <t>支　出</t>
    <rPh sb="0" eb="1">
      <t>シ</t>
    </rPh>
    <rPh sb="2" eb="3">
      <t>デ</t>
    </rPh>
    <phoneticPr fontId="29"/>
  </si>
  <si>
    <t>均等割または面積割等で按分した個人配分額の合計</t>
    <rPh sb="0" eb="2">
      <t>キントウ</t>
    </rPh>
    <rPh sb="2" eb="3">
      <t>ワ</t>
    </rPh>
    <rPh sb="6" eb="8">
      <t>メンセキ</t>
    </rPh>
    <rPh sb="8" eb="9">
      <t>ワリ</t>
    </rPh>
    <rPh sb="9" eb="10">
      <t>トウ</t>
    </rPh>
    <rPh sb="11" eb="13">
      <t>アンブン</t>
    </rPh>
    <rPh sb="15" eb="17">
      <t>コジン</t>
    </rPh>
    <rPh sb="17" eb="19">
      <t>ハイブン</t>
    </rPh>
    <rPh sb="19" eb="20">
      <t>ガク</t>
    </rPh>
    <rPh sb="21" eb="23">
      <t>ゴウケイ</t>
    </rPh>
    <phoneticPr fontId="29"/>
  </si>
  <si>
    <t>代表者手当等</t>
    <rPh sb="0" eb="3">
      <t>ダイヒョウシャ</t>
    </rPh>
    <rPh sb="3" eb="5">
      <t>テアテ</t>
    </rPh>
    <rPh sb="5" eb="6">
      <t>トウ</t>
    </rPh>
    <phoneticPr fontId="29"/>
  </si>
  <si>
    <t>農道や水路の管理、補修、道路法面の管理に要した経費　</t>
    <rPh sb="0" eb="2">
      <t>ノウドウ</t>
    </rPh>
    <rPh sb="3" eb="5">
      <t>スイロ</t>
    </rPh>
    <rPh sb="6" eb="8">
      <t>カンリ</t>
    </rPh>
    <rPh sb="9" eb="11">
      <t>ホシュウ</t>
    </rPh>
    <rPh sb="12" eb="14">
      <t>ドウロ</t>
    </rPh>
    <rPh sb="14" eb="15">
      <t>ノリ</t>
    </rPh>
    <rPh sb="15" eb="16">
      <t>メン</t>
    </rPh>
    <rPh sb="17" eb="19">
      <t>カンリ</t>
    </rPh>
    <rPh sb="20" eb="21">
      <t>ヨウ</t>
    </rPh>
    <rPh sb="23" eb="25">
      <t>ケイヒ</t>
    </rPh>
    <phoneticPr fontId="29"/>
  </si>
  <si>
    <t>田畑の耕作・管理に要した経費</t>
    <rPh sb="0" eb="1">
      <t>タ</t>
    </rPh>
    <rPh sb="1" eb="2">
      <t>ハタ</t>
    </rPh>
    <rPh sb="3" eb="5">
      <t>コウサク</t>
    </rPh>
    <rPh sb="6" eb="8">
      <t>カンリ</t>
    </rPh>
    <rPh sb="9" eb="10">
      <t>ヨウ</t>
    </rPh>
    <rPh sb="12" eb="14">
      <t>ケイヒ</t>
    </rPh>
    <phoneticPr fontId="29"/>
  </si>
  <si>
    <t>⑧</t>
  </si>
  <si>
    <t>鳥獣被害防止対策費</t>
    <rPh sb="0" eb="2">
      <t>チョウジュウ</t>
    </rPh>
    <rPh sb="2" eb="4">
      <t>ヒガイ</t>
    </rPh>
    <rPh sb="4" eb="6">
      <t>ボウシ</t>
    </rPh>
    <rPh sb="6" eb="9">
      <t>タイサクヒ</t>
    </rPh>
    <phoneticPr fontId="29"/>
  </si>
  <si>
    <t>鳥獣防止柵の設置・補修に要した経費　</t>
    <rPh sb="0" eb="2">
      <t>チョウジュウ</t>
    </rPh>
    <rPh sb="2" eb="4">
      <t>ボウシ</t>
    </rPh>
    <rPh sb="4" eb="5">
      <t>サク</t>
    </rPh>
    <rPh sb="6" eb="8">
      <t>セッチ</t>
    </rPh>
    <rPh sb="9" eb="11">
      <t>ホシュウ</t>
    </rPh>
    <rPh sb="12" eb="13">
      <t>ヨウ</t>
    </rPh>
    <rPh sb="15" eb="17">
      <t>ケイヒ</t>
    </rPh>
    <phoneticPr fontId="29"/>
  </si>
  <si>
    <t>ヶ月／12ヶ月</t>
    <rPh sb="1" eb="2">
      <t>ツキ</t>
    </rPh>
    <rPh sb="6" eb="7">
      <t>ツキ</t>
    </rPh>
    <phoneticPr fontId="62"/>
  </si>
  <si>
    <t xml:space="preserve"> ⑨ 土地利用調整関係費</t>
    <rPh sb="3" eb="7">
      <t>トチリヨウ</t>
    </rPh>
    <rPh sb="7" eb="9">
      <t>チョウセイ</t>
    </rPh>
    <rPh sb="9" eb="12">
      <t>カンケイヒ</t>
    </rPh>
    <phoneticPr fontId="29"/>
  </si>
  <si>
    <t>周辺林地の下草刈り、景観作物の植栽、堆きゅう肥の施肥等</t>
    <rPh sb="0" eb="2">
      <t>シュウヘン</t>
    </rPh>
    <rPh sb="2" eb="4">
      <t>リンチ</t>
    </rPh>
    <rPh sb="5" eb="6">
      <t>シタ</t>
    </rPh>
    <rPh sb="6" eb="8">
      <t>クサカ</t>
    </rPh>
    <rPh sb="10" eb="12">
      <t>ケイカン</t>
    </rPh>
    <rPh sb="12" eb="14">
      <t>サクモツ</t>
    </rPh>
    <rPh sb="15" eb="17">
      <t>ショクサイ</t>
    </rPh>
    <rPh sb="18" eb="19">
      <t>ウズタ</t>
    </rPh>
    <rPh sb="22" eb="23">
      <t>ヒ</t>
    </rPh>
    <rPh sb="24" eb="26">
      <t>セヒ</t>
    </rPh>
    <rPh sb="26" eb="27">
      <t>トウ</t>
    </rPh>
    <phoneticPr fontId="29"/>
  </si>
  <si>
    <t>共同利用機械購入等費</t>
    <rPh sb="0" eb="2">
      <t>キョウドウ</t>
    </rPh>
    <rPh sb="2" eb="4">
      <t>リヨウ</t>
    </rPh>
    <rPh sb="4" eb="6">
      <t>キカイ</t>
    </rPh>
    <rPh sb="6" eb="8">
      <t>コウニュウ</t>
    </rPh>
    <rPh sb="8" eb="10">
      <t>トウヒ</t>
    </rPh>
    <phoneticPr fontId="29"/>
  </si>
  <si>
    <t>島根　１２郎</t>
    <rPh sb="0" eb="2">
      <t>シマネ</t>
    </rPh>
    <rPh sb="5" eb="6">
      <t>ロウ</t>
    </rPh>
    <phoneticPr fontId="7"/>
  </si>
  <si>
    <t>多面的機能増進活動費</t>
    <rPh sb="0" eb="3">
      <t>タメンテキ</t>
    </rPh>
    <rPh sb="3" eb="5">
      <t>キノウ</t>
    </rPh>
    <rPh sb="5" eb="7">
      <t>ゾウシン</t>
    </rPh>
    <rPh sb="7" eb="9">
      <t>カツドウ</t>
    </rPh>
    <rPh sb="9" eb="10">
      <t>ヒ</t>
    </rPh>
    <phoneticPr fontId="29"/>
  </si>
  <si>
    <t>に該当しない支出額</t>
    <rPh sb="1" eb="3">
      <t>ガイトウ</t>
    </rPh>
    <rPh sb="6" eb="7">
      <t>ササ</t>
    </rPh>
    <rPh sb="7" eb="8">
      <t>デ</t>
    </rPh>
    <rPh sb="8" eb="9">
      <t>ガク</t>
    </rPh>
    <phoneticPr fontId="29"/>
  </si>
  <si>
    <t>現在償却中の減価償却資産</t>
    <rPh sb="0" eb="2">
      <t>ゲンザイ</t>
    </rPh>
    <rPh sb="2" eb="4">
      <t>ショウキャク</t>
    </rPh>
    <rPh sb="4" eb="5">
      <t>ナカ</t>
    </rPh>
    <rPh sb="6" eb="8">
      <t>ゲンカ</t>
    </rPh>
    <rPh sb="8" eb="10">
      <t>ショウキャク</t>
    </rPh>
    <rPh sb="10" eb="12">
      <t>シサン</t>
    </rPh>
    <phoneticPr fontId="62"/>
  </si>
  <si>
    <t>金額１０</t>
  </si>
  <si>
    <t>協定Ｎｏ．</t>
    <rPh sb="0" eb="2">
      <t>キョウテイ</t>
    </rPh>
    <phoneticPr fontId="7"/>
  </si>
  <si>
    <t>(B)+(C)</t>
  </si>
  <si>
    <t>×</t>
  </si>
  <si>
    <t>R7</t>
  </si>
  <si>
    <t>資産番号</t>
    <rPh sb="0" eb="2">
      <t>シサン</t>
    </rPh>
    <rPh sb="2" eb="4">
      <t>バンゴウ</t>
    </rPh>
    <phoneticPr fontId="62"/>
  </si>
  <si>
    <t>島根　３郎</t>
    <rPh sb="0" eb="2">
      <t>シマネ</t>
    </rPh>
    <rPh sb="4" eb="5">
      <t>ロウ</t>
    </rPh>
    <phoneticPr fontId="7"/>
  </si>
  <si>
    <t>２．上記支出は、積立・繰越に係る計画に定めた内容にあたるもの。</t>
    <rPh sb="2" eb="4">
      <t>ジョウキ</t>
    </rPh>
    <rPh sb="4" eb="6">
      <t>シシュツ</t>
    </rPh>
    <rPh sb="8" eb="10">
      <t>ツミタテ</t>
    </rPh>
    <rPh sb="11" eb="13">
      <t>クリコシ</t>
    </rPh>
    <rPh sb="14" eb="15">
      <t>カカ</t>
    </rPh>
    <rPh sb="16" eb="18">
      <t>ケイカク</t>
    </rPh>
    <rPh sb="19" eb="20">
      <t>サダ</t>
    </rPh>
    <rPh sb="22" eb="24">
      <t>ナイヨウ</t>
    </rPh>
    <phoneticPr fontId="29"/>
  </si>
  <si>
    <t>（C） 総　計</t>
    <rPh sb="4" eb="5">
      <t>ソウ</t>
    </rPh>
    <rPh sb="6" eb="7">
      <t>ケイ</t>
    </rPh>
    <phoneticPr fontId="29"/>
  </si>
  <si>
    <t>減価償却費（当年分）</t>
    <rPh sb="0" eb="2">
      <t>ゲンカ</t>
    </rPh>
    <rPh sb="2" eb="5">
      <t>ショウキャクヒ</t>
    </rPh>
    <rPh sb="6" eb="8">
      <t>トウネン</t>
    </rPh>
    <rPh sb="8" eb="9">
      <t>ブン</t>
    </rPh>
    <phoneticPr fontId="62"/>
  </si>
  <si>
    <t>ⓒ番号</t>
    <rPh sb="1" eb="3">
      <t>バンゴウ</t>
    </rPh>
    <phoneticPr fontId="62"/>
  </si>
  <si>
    <t>ⓐの合計額</t>
    <rPh sb="2" eb="5">
      <t>ゴウケイガク</t>
    </rPh>
    <phoneticPr fontId="62"/>
  </si>
  <si>
    <t>　　　〇〇市町村長　　〇　〇　〇　〇　　　　　　　印</t>
    <rPh sb="5" eb="6">
      <t>シ</t>
    </rPh>
    <rPh sb="6" eb="8">
      <t>チョウソン</t>
    </rPh>
    <rPh sb="8" eb="9">
      <t>チョウ</t>
    </rPh>
    <rPh sb="25" eb="26">
      <t>イン</t>
    </rPh>
    <phoneticPr fontId="29"/>
  </si>
  <si>
    <t>過年</t>
  </si>
  <si>
    <t>・一人当りの所要額が©２０万円以上の資産を処分した場合は、「残存簿価分」列に１資産につき１円を記載する。</t>
    <rPh sb="1" eb="4">
      <t>ヒトリア</t>
    </rPh>
    <rPh sb="6" eb="9">
      <t>ショヨウガク</t>
    </rPh>
    <rPh sb="13" eb="15">
      <t>マンエン</t>
    </rPh>
    <rPh sb="15" eb="17">
      <t>イジョウ</t>
    </rPh>
    <rPh sb="18" eb="20">
      <t>シサン</t>
    </rPh>
    <rPh sb="21" eb="23">
      <t>ショブン</t>
    </rPh>
    <rPh sb="25" eb="27">
      <t>バアイ</t>
    </rPh>
    <rPh sb="30" eb="34">
      <t>ザンゾンボカ</t>
    </rPh>
    <rPh sb="34" eb="35">
      <t>ブン</t>
    </rPh>
    <rPh sb="36" eb="37">
      <t>レツ</t>
    </rPh>
    <rPh sb="39" eb="41">
      <t>シサン</t>
    </rPh>
    <rPh sb="45" eb="46">
      <t>エン</t>
    </rPh>
    <rPh sb="47" eb="49">
      <t>キサイ</t>
    </rPh>
    <phoneticPr fontId="29"/>
  </si>
  <si>
    <t>収入金額計</t>
    <rPh sb="0" eb="2">
      <t>シュウニュウ</t>
    </rPh>
    <rPh sb="2" eb="4">
      <t>キンガク</t>
    </rPh>
    <rPh sb="4" eb="5">
      <t>ケイ</t>
    </rPh>
    <phoneticPr fontId="29"/>
  </si>
  <si>
    <t>　令和　年　中山間地域等直接支払交付金　金銭出納簿</t>
    <rPh sb="1" eb="3">
      <t>レイワ</t>
    </rPh>
    <rPh sb="4" eb="5">
      <t>ネン</t>
    </rPh>
    <rPh sb="5" eb="6">
      <t>ヘイネン</t>
    </rPh>
    <rPh sb="6" eb="19">
      <t>チュウサンカン</t>
    </rPh>
    <rPh sb="20" eb="22">
      <t>キンセン</t>
    </rPh>
    <rPh sb="22" eb="25">
      <t>スイトウボ</t>
    </rPh>
    <phoneticPr fontId="29"/>
  </si>
  <si>
    <t>最終年</t>
    <rPh sb="0" eb="3">
      <t>サイシュウネン</t>
    </rPh>
    <phoneticPr fontId="7"/>
  </si>
  <si>
    <t>令和　年　月　日　～　令和　年　月　日</t>
    <rPh sb="0" eb="1">
      <t>レイ</t>
    </rPh>
    <rPh sb="1" eb="2">
      <t>カズ</t>
    </rPh>
    <rPh sb="3" eb="4">
      <t>ネン</t>
    </rPh>
    <rPh sb="5" eb="6">
      <t>ツキ</t>
    </rPh>
    <rPh sb="7" eb="8">
      <t>ヒ</t>
    </rPh>
    <rPh sb="11" eb="13">
      <t>レイワ</t>
    </rPh>
    <phoneticPr fontId="29"/>
  </si>
  <si>
    <t>資産の名称</t>
    <rPh sb="0" eb="2">
      <t>シサン</t>
    </rPh>
    <rPh sb="3" eb="5">
      <t>メイショウ</t>
    </rPh>
    <phoneticPr fontId="62"/>
  </si>
  <si>
    <t>氏　　名</t>
    <rPh sb="0" eb="1">
      <t>シ</t>
    </rPh>
    <rPh sb="3" eb="4">
      <t>メイ</t>
    </rPh>
    <phoneticPr fontId="29"/>
  </si>
  <si>
    <t>共同利用施設整備等費</t>
    <rPh sb="0" eb="2">
      <t>キョウドウ</t>
    </rPh>
    <rPh sb="2" eb="4">
      <t>リヨウ</t>
    </rPh>
    <rPh sb="4" eb="6">
      <t>シセツ</t>
    </rPh>
    <rPh sb="6" eb="8">
      <t>セイビ</t>
    </rPh>
    <rPh sb="8" eb="9">
      <t>トウ</t>
    </rPh>
    <rPh sb="9" eb="10">
      <t>ヒ</t>
    </rPh>
    <phoneticPr fontId="29"/>
  </si>
  <si>
    <t>金額 ２</t>
  </si>
  <si>
    <t>収入計</t>
    <rPh sb="0" eb="2">
      <t>シュウニュウ</t>
    </rPh>
    <rPh sb="2" eb="3">
      <t>ケイ</t>
    </rPh>
    <phoneticPr fontId="29"/>
  </si>
  <si>
    <t>乗用草刈代</t>
    <rPh sb="0" eb="2">
      <t>ジョウヨウ</t>
    </rPh>
    <rPh sb="2" eb="4">
      <t>クサカリ</t>
    </rPh>
    <rPh sb="4" eb="5">
      <t>ダイ</t>
    </rPh>
    <phoneticPr fontId="29"/>
  </si>
  <si>
    <t>単位：円</t>
    <rPh sb="0" eb="2">
      <t>タンイ</t>
    </rPh>
    <rPh sb="3" eb="4">
      <t>エン</t>
    </rPh>
    <phoneticPr fontId="29"/>
  </si>
  <si>
    <t>法人設立関係費</t>
    <rPh sb="0" eb="2">
      <t>ホウジン</t>
    </rPh>
    <rPh sb="2" eb="4">
      <t>セツリツ</t>
    </rPh>
    <rPh sb="4" eb="7">
      <t>カンケイヒ</t>
    </rPh>
    <phoneticPr fontId="29"/>
  </si>
  <si>
    <t>都市住民との交流促進関係費</t>
    <rPh sb="0" eb="2">
      <t>トシ</t>
    </rPh>
    <rPh sb="2" eb="4">
      <t>ジュウミン</t>
    </rPh>
    <rPh sb="6" eb="8">
      <t>コウリュウ</t>
    </rPh>
    <rPh sb="8" eb="10">
      <t>ソクシン</t>
    </rPh>
    <rPh sb="10" eb="13">
      <t>カンケイヒ</t>
    </rPh>
    <phoneticPr fontId="29"/>
  </si>
  <si>
    <t>②</t>
  </si>
  <si>
    <t>ポンプ水路草刈代</t>
    <rPh sb="3" eb="5">
      <t>スイロ</t>
    </rPh>
    <rPh sb="5" eb="7">
      <t>クサカ</t>
    </rPh>
    <rPh sb="7" eb="8">
      <t>ダイ</t>
    </rPh>
    <phoneticPr fontId="29"/>
  </si>
  <si>
    <t>共同取組活</t>
    <rPh sb="0" eb="2">
      <t>キョウドウ</t>
    </rPh>
    <rPh sb="2" eb="4">
      <t>トリクミ</t>
    </rPh>
    <rPh sb="4" eb="5">
      <t>カツ</t>
    </rPh>
    <phoneticPr fontId="29"/>
  </si>
  <si>
    <t>（注）　５　「⑥減価償却資産の取得金額」及び、「⑧減価償却費」欄は、「減価償却費の明細」より移記します。</t>
    <rPh sb="1" eb="2">
      <t>チュウ</t>
    </rPh>
    <rPh sb="8" eb="10">
      <t>ゲンカ</t>
    </rPh>
    <rPh sb="10" eb="12">
      <t>ショウキャク</t>
    </rPh>
    <rPh sb="12" eb="14">
      <t>シサン</t>
    </rPh>
    <rPh sb="15" eb="17">
      <t>シュトク</t>
    </rPh>
    <rPh sb="17" eb="19">
      <t>キンガク</t>
    </rPh>
    <rPh sb="20" eb="21">
      <t>オヨ</t>
    </rPh>
    <rPh sb="25" eb="27">
      <t>ゲンカ</t>
    </rPh>
    <rPh sb="27" eb="29">
      <t>ショウキャク</t>
    </rPh>
    <rPh sb="29" eb="30">
      <t>ヒ</t>
    </rPh>
    <rPh sb="31" eb="32">
      <t>ラン</t>
    </rPh>
    <rPh sb="35" eb="37">
      <t>ゲンカ</t>
    </rPh>
    <rPh sb="37" eb="39">
      <t>ショウキャク</t>
    </rPh>
    <rPh sb="39" eb="40">
      <t>ヒ</t>
    </rPh>
    <rPh sb="41" eb="43">
      <t>メイサイ</t>
    </rPh>
    <rPh sb="46" eb="47">
      <t>ウツ</t>
    </rPh>
    <rPh sb="47" eb="48">
      <t>キ</t>
    </rPh>
    <phoneticPr fontId="29"/>
  </si>
  <si>
    <t>期首帳簿残高
（未償却額）</t>
    <rPh sb="0" eb="1">
      <t>キ</t>
    </rPh>
    <rPh sb="1" eb="2">
      <t>クビ</t>
    </rPh>
    <rPh sb="2" eb="4">
      <t>チョウボ</t>
    </rPh>
    <rPh sb="4" eb="6">
      <t>ザンダカ</t>
    </rPh>
    <rPh sb="8" eb="11">
      <t>ミショウキャク</t>
    </rPh>
    <rPh sb="11" eb="12">
      <t>ガク</t>
    </rPh>
    <phoneticPr fontId="7"/>
  </si>
  <si>
    <t>島根　１郎</t>
    <rPh sb="0" eb="2">
      <t>シマネ</t>
    </rPh>
    <rPh sb="4" eb="5">
      <t>ロウ</t>
    </rPh>
    <phoneticPr fontId="7"/>
  </si>
  <si>
    <t>収入金額</t>
    <rPh sb="0" eb="2">
      <t>シュウニュウ</t>
    </rPh>
    <rPh sb="2" eb="4">
      <t>キンガク</t>
    </rPh>
    <phoneticPr fontId="29"/>
  </si>
  <si>
    <t>番号</t>
    <rPh sb="0" eb="2">
      <t>バンゴウ</t>
    </rPh>
    <phoneticPr fontId="62"/>
  </si>
  <si>
    <t>ⓒの合計額</t>
    <rPh sb="2" eb="5">
      <t>ゴウケイガク</t>
    </rPh>
    <phoneticPr fontId="62"/>
  </si>
  <si>
    <t xml:space="preserve">    （１）配分総額</t>
  </si>
  <si>
    <t>共同利用施設整備等費</t>
    <rPh sb="0" eb="2">
      <t>キョウドウ</t>
    </rPh>
    <rPh sb="2" eb="4">
      <t>リヨウ</t>
    </rPh>
    <rPh sb="4" eb="6">
      <t>シセツ</t>
    </rPh>
    <rPh sb="6" eb="8">
      <t>セイビ</t>
    </rPh>
    <rPh sb="8" eb="9">
      <t>トウ</t>
    </rPh>
    <rPh sb="9" eb="10">
      <t>ヒ</t>
    </rPh>
    <phoneticPr fontId="7"/>
  </si>
  <si>
    <r>
      <t>⑤</t>
    </r>
    <r>
      <rPr>
        <sz val="9"/>
        <color auto="1"/>
        <rFont val="ＭＳ Ｐゴシック"/>
      </rPr>
      <t>　④のうち必要経費</t>
    </r>
    <rPh sb="6" eb="8">
      <t>ヒツヨウ</t>
    </rPh>
    <rPh sb="8" eb="9">
      <t>キョウ</t>
    </rPh>
    <rPh sb="9" eb="10">
      <t>ヒ</t>
    </rPh>
    <phoneticPr fontId="29"/>
  </si>
  <si>
    <t>（注）　２　「②役員報酬・出役賃金等」欄は、「中山間地域等直接支払執行状況調書」の「役員報酬・出役賃金等の計」(D)欄から移記します。</t>
    <rPh sb="1" eb="2">
      <t>チュウ</t>
    </rPh>
    <rPh sb="8" eb="10">
      <t>ヤクイン</t>
    </rPh>
    <rPh sb="10" eb="12">
      <t>ホウシュウ</t>
    </rPh>
    <rPh sb="13" eb="15">
      <t>シュツエキ</t>
    </rPh>
    <rPh sb="15" eb="17">
      <t>チンギン</t>
    </rPh>
    <rPh sb="17" eb="18">
      <t>トウ</t>
    </rPh>
    <rPh sb="19" eb="20">
      <t>ラン</t>
    </rPh>
    <rPh sb="23" eb="24">
      <t>ナカ</t>
    </rPh>
    <rPh sb="24" eb="26">
      <t>ヤマアイ</t>
    </rPh>
    <rPh sb="26" eb="29">
      <t>チイキナド</t>
    </rPh>
    <rPh sb="29" eb="31">
      <t>チョクセツ</t>
    </rPh>
    <rPh sb="31" eb="33">
      <t>シハライ</t>
    </rPh>
    <rPh sb="33" eb="35">
      <t>シッコウ</t>
    </rPh>
    <rPh sb="35" eb="37">
      <t>ジョウキョウ</t>
    </rPh>
    <rPh sb="37" eb="39">
      <t>チョウショ</t>
    </rPh>
    <rPh sb="44" eb="46">
      <t>ホウシュウ</t>
    </rPh>
    <rPh sb="53" eb="54">
      <t>ケイ</t>
    </rPh>
    <rPh sb="58" eb="59">
      <t>ラン</t>
    </rPh>
    <rPh sb="61" eb="62">
      <t>イ</t>
    </rPh>
    <rPh sb="62" eb="63">
      <t>キ</t>
    </rPh>
    <phoneticPr fontId="29"/>
  </si>
  <si>
    <t>金額 ７</t>
  </si>
  <si>
    <t>合        計</t>
    <rPh sb="0" eb="10">
      <t>ゴウケイ</t>
    </rPh>
    <phoneticPr fontId="29"/>
  </si>
  <si>
    <t>令和　年　中山間地域等直接支払交付金</t>
    <rPh sb="0" eb="2">
      <t>レイワ</t>
    </rPh>
    <rPh sb="3" eb="4">
      <t>トシ</t>
    </rPh>
    <rPh sb="5" eb="6">
      <t>チュウ</t>
    </rPh>
    <rPh sb="6" eb="8">
      <t>サンカン</t>
    </rPh>
    <rPh sb="8" eb="10">
      <t>チイキ</t>
    </rPh>
    <rPh sb="10" eb="11">
      <t>トウ</t>
    </rPh>
    <rPh sb="11" eb="13">
      <t>チョクセツ</t>
    </rPh>
    <rPh sb="13" eb="15">
      <t>シハラ</t>
    </rPh>
    <rPh sb="15" eb="18">
      <t>コウフキン</t>
    </rPh>
    <phoneticPr fontId="7"/>
  </si>
  <si>
    <t>金額１２</t>
  </si>
  <si>
    <t>共 同 取 組 配 分</t>
  </si>
  <si>
    <t xml:space="preserve"> 協定参加者名</t>
  </si>
  <si>
    <t xml:space="preserve"> ① 役員報酬</t>
    <rPh sb="5" eb="6">
      <t>ホウ</t>
    </rPh>
    <rPh sb="6" eb="7">
      <t>シュウ</t>
    </rPh>
    <phoneticPr fontId="29"/>
  </si>
  <si>
    <t>３年</t>
    <rPh sb="1" eb="2">
      <t>ネン</t>
    </rPh>
    <phoneticPr fontId="62"/>
  </si>
  <si>
    <t>支  出  項  目</t>
  </si>
  <si>
    <t>ⓒ-3番号</t>
    <rPh sb="3" eb="5">
      <t>バンゴウ</t>
    </rPh>
    <phoneticPr fontId="62"/>
  </si>
  <si>
    <t>個人内訳</t>
    <rPh sb="0" eb="2">
      <t>コジン</t>
    </rPh>
    <rPh sb="2" eb="3">
      <t>ウチ</t>
    </rPh>
    <rPh sb="3" eb="4">
      <t>ヤク</t>
    </rPh>
    <phoneticPr fontId="62"/>
  </si>
  <si>
    <t>当年必要経費となる減価償却費の合計（ⓒ-2）</t>
    <rPh sb="0" eb="2">
      <t>トウネン</t>
    </rPh>
    <rPh sb="2" eb="4">
      <t>ヒツヨウ</t>
    </rPh>
    <rPh sb="4" eb="6">
      <t>ケイヒ</t>
    </rPh>
    <rPh sb="9" eb="11">
      <t>ゲンカ</t>
    </rPh>
    <rPh sb="11" eb="13">
      <t>ショウキャク</t>
    </rPh>
    <rPh sb="13" eb="14">
      <t>ヒ</t>
    </rPh>
    <rPh sb="15" eb="17">
      <t>ゴウケイ</t>
    </rPh>
    <phoneticPr fontId="62"/>
  </si>
  <si>
    <t>金額 ３</t>
  </si>
  <si>
    <t>減価償却費</t>
    <rPh sb="0" eb="5">
      <t>ゲンカショウキャクヒ</t>
    </rPh>
    <phoneticPr fontId="7"/>
  </si>
  <si>
    <t>島根　５郎</t>
    <rPh sb="0" eb="2">
      <t>シマネ</t>
    </rPh>
    <rPh sb="4" eb="5">
      <t>ロウ</t>
    </rPh>
    <phoneticPr fontId="7"/>
  </si>
  <si>
    <t>（注）　３　「④共同取組活動分支出額」欄は、「収支報告書の　2、協定参加者別細目」の「合計の支出額」⑯欄から、移記します。</t>
    <rPh sb="1" eb="2">
      <t>チュウ</t>
    </rPh>
    <rPh sb="8" eb="10">
      <t>キョウドウ</t>
    </rPh>
    <rPh sb="10" eb="12">
      <t>トリクミ</t>
    </rPh>
    <rPh sb="12" eb="14">
      <t>カツドウ</t>
    </rPh>
    <rPh sb="14" eb="15">
      <t>ブン</t>
    </rPh>
    <rPh sb="15" eb="17">
      <t>シシュツ</t>
    </rPh>
    <rPh sb="17" eb="18">
      <t>ガク</t>
    </rPh>
    <rPh sb="19" eb="20">
      <t>ラン</t>
    </rPh>
    <rPh sb="23" eb="25">
      <t>シュウシ</t>
    </rPh>
    <rPh sb="25" eb="28">
      <t>ホウコクショ</t>
    </rPh>
    <rPh sb="32" eb="34">
      <t>キョウテイ</t>
    </rPh>
    <rPh sb="34" eb="37">
      <t>サンカシャ</t>
    </rPh>
    <rPh sb="37" eb="38">
      <t>ベツ</t>
    </rPh>
    <rPh sb="38" eb="40">
      <t>サイモク</t>
    </rPh>
    <rPh sb="43" eb="45">
      <t>ゴウケイ</t>
    </rPh>
    <rPh sb="46" eb="48">
      <t>シシュツ</t>
    </rPh>
    <rPh sb="48" eb="49">
      <t>ガク</t>
    </rPh>
    <rPh sb="51" eb="52">
      <t>ラン</t>
    </rPh>
    <rPh sb="55" eb="56">
      <t>イ</t>
    </rPh>
    <rPh sb="56" eb="57">
      <t>キ</t>
    </rPh>
    <phoneticPr fontId="29"/>
  </si>
  <si>
    <t xml:space="preserve">       令和　年　　月　　日</t>
    <rPh sb="6" eb="8">
      <t>レイワ</t>
    </rPh>
    <phoneticPr fontId="29"/>
  </si>
  <si>
    <t>単位:円</t>
    <rPh sb="0" eb="2">
      <t>タンイ</t>
    </rPh>
    <rPh sb="3" eb="4">
      <t>エン</t>
    </rPh>
    <phoneticPr fontId="29"/>
  </si>
  <si>
    <t>令和  年  中山間地域等直接支払交付金収支証明書</t>
    <rPh sb="0" eb="1">
      <t>レイ</t>
    </rPh>
    <rPh sb="1" eb="2">
      <t>ワ</t>
    </rPh>
    <rPh sb="4" eb="5">
      <t>ネン</t>
    </rPh>
    <rPh sb="7" eb="13">
      <t>チュウナド</t>
    </rPh>
    <rPh sb="13" eb="15">
      <t>チョクセツ</t>
    </rPh>
    <rPh sb="15" eb="17">
      <t>シハライ</t>
    </rPh>
    <rPh sb="17" eb="20">
      <t>コウフキン</t>
    </rPh>
    <rPh sb="20" eb="22">
      <t>シュウシ</t>
    </rPh>
    <rPh sb="22" eb="25">
      <t>ショウメイショ</t>
    </rPh>
    <phoneticPr fontId="29"/>
  </si>
  <si>
    <t xml:space="preserve"> ⑩ 法人設立関係費</t>
    <rPh sb="3" eb="5">
      <t>ホウジン</t>
    </rPh>
    <rPh sb="5" eb="7">
      <t>セツリツ</t>
    </rPh>
    <rPh sb="7" eb="10">
      <t>カンケイヒ</t>
    </rPh>
    <phoneticPr fontId="29"/>
  </si>
  <si>
    <t>⑤　④のうち</t>
  </si>
  <si>
    <t>耐用年数</t>
    <rPh sb="0" eb="4">
      <t>タイヨウネンスウ</t>
    </rPh>
    <phoneticPr fontId="7"/>
  </si>
  <si>
    <t>当年必要経費となる減価償却費の合計（ⓒ-1）</t>
    <rPh sb="0" eb="2">
      <t>トウネン</t>
    </rPh>
    <rPh sb="2" eb="4">
      <t>ヒツヨウ</t>
    </rPh>
    <rPh sb="4" eb="6">
      <t>ケイヒ</t>
    </rPh>
    <rPh sb="9" eb="11">
      <t>ゲンカ</t>
    </rPh>
    <rPh sb="11" eb="13">
      <t>ショウキャク</t>
    </rPh>
    <rPh sb="13" eb="14">
      <t>ヒ</t>
    </rPh>
    <rPh sb="15" eb="17">
      <t>ゴウケイ</t>
    </rPh>
    <phoneticPr fontId="62"/>
  </si>
  <si>
    <t>減価償却資産の計算表（均等割りの場合）</t>
    <rPh sb="0" eb="2">
      <t>ゲンカ</t>
    </rPh>
    <rPh sb="2" eb="4">
      <t>ショウキャク</t>
    </rPh>
    <rPh sb="4" eb="6">
      <t>シサン</t>
    </rPh>
    <rPh sb="7" eb="9">
      <t>ケイサン</t>
    </rPh>
    <rPh sb="9" eb="10">
      <t>ヒョウ</t>
    </rPh>
    <rPh sb="11" eb="13">
      <t>キントウ</t>
    </rPh>
    <rPh sb="13" eb="14">
      <t>ワ</t>
    </rPh>
    <rPh sb="16" eb="18">
      <t>バアイ</t>
    </rPh>
    <phoneticPr fontId="62"/>
  </si>
  <si>
    <t>農業の使用割合%</t>
    <rPh sb="0" eb="2">
      <t>ノウギョウ</t>
    </rPh>
    <rPh sb="3" eb="5">
      <t>シヨウ</t>
    </rPh>
    <rPh sb="5" eb="7">
      <t>ワリアイ</t>
    </rPh>
    <phoneticPr fontId="62"/>
  </si>
  <si>
    <t>残存簿価分</t>
    <rPh sb="0" eb="2">
      <t>ザンゾン</t>
    </rPh>
    <rPh sb="2" eb="4">
      <t>ボカ</t>
    </rPh>
    <rPh sb="4" eb="5">
      <t>ブン</t>
    </rPh>
    <phoneticPr fontId="7"/>
  </si>
  <si>
    <t>〇〇谷草刈代</t>
    <rPh sb="2" eb="3">
      <t>タニ</t>
    </rPh>
    <rPh sb="3" eb="5">
      <t>クサカ</t>
    </rPh>
    <rPh sb="5" eb="6">
      <t>ダイ</t>
    </rPh>
    <phoneticPr fontId="29"/>
  </si>
  <si>
    <t>島根　７郎</t>
    <rPh sb="0" eb="2">
      <t>シマネ</t>
    </rPh>
    <rPh sb="4" eb="5">
      <t>ロウ</t>
    </rPh>
    <phoneticPr fontId="7"/>
  </si>
  <si>
    <t>①</t>
  </si>
  <si>
    <t xml:space="preserve"> ⑤ 鳥獣被害防止対策費</t>
    <rPh sb="3" eb="5">
      <t>チョウジュウ</t>
    </rPh>
    <rPh sb="6" eb="7">
      <t>ガイ</t>
    </rPh>
    <rPh sb="7" eb="9">
      <t>ボウシ</t>
    </rPh>
    <rPh sb="9" eb="12">
      <t>タイサクヒ</t>
    </rPh>
    <phoneticPr fontId="29"/>
  </si>
  <si>
    <t>動分支出額</t>
    <rPh sb="0" eb="1">
      <t>ドウ</t>
    </rPh>
    <rPh sb="1" eb="2">
      <t>ブン</t>
    </rPh>
    <rPh sb="2" eb="4">
      <t>シシュツ</t>
    </rPh>
    <rPh sb="4" eb="5">
      <t>ガク</t>
    </rPh>
    <phoneticPr fontId="29"/>
  </si>
  <si>
    <t>・独自に按分する場合は、協定の約束事に従って額を入力する。</t>
  </si>
  <si>
    <t>収　　　　入</t>
    <rPh sb="0" eb="1">
      <t>オサム</t>
    </rPh>
    <rPh sb="5" eb="6">
      <t>イ</t>
    </rPh>
    <phoneticPr fontId="29"/>
  </si>
  <si>
    <t>会 計 印</t>
  </si>
  <si>
    <t>様</t>
    <rPh sb="0" eb="1">
      <t>サマ</t>
    </rPh>
    <phoneticPr fontId="7"/>
  </si>
  <si>
    <t>１人当りの所要額</t>
    <rPh sb="1" eb="2">
      <t>ヒト</t>
    </rPh>
    <rPh sb="2" eb="3">
      <t>ア</t>
    </rPh>
    <rPh sb="5" eb="8">
      <t>ショヨウガク</t>
    </rPh>
    <phoneticPr fontId="62"/>
  </si>
  <si>
    <t>　令和　年　　月　　日に交付した中山間地域等直接支払交付金について、上記のとおり配分及び支出したことを証明する。</t>
    <rPh sb="1" eb="2">
      <t>レイ</t>
    </rPh>
    <rPh sb="2" eb="3">
      <t>ワ</t>
    </rPh>
    <rPh sb="4" eb="5">
      <t>ネン</t>
    </rPh>
    <rPh sb="7" eb="8">
      <t>ガツ</t>
    </rPh>
    <rPh sb="10" eb="11">
      <t>ニチ</t>
    </rPh>
    <rPh sb="12" eb="14">
      <t>コウフ</t>
    </rPh>
    <rPh sb="16" eb="22">
      <t>チュウナド</t>
    </rPh>
    <rPh sb="22" eb="24">
      <t>チョクセツ</t>
    </rPh>
    <rPh sb="24" eb="26">
      <t>シハライ</t>
    </rPh>
    <rPh sb="26" eb="29">
      <t>コウフキン</t>
    </rPh>
    <rPh sb="34" eb="36">
      <t>ジョウキ</t>
    </rPh>
    <rPh sb="40" eb="42">
      <t>ハイブン</t>
    </rPh>
    <rPh sb="42" eb="43">
      <t>オヨ</t>
    </rPh>
    <rPh sb="44" eb="46">
      <t>シシュツ</t>
    </rPh>
    <phoneticPr fontId="29"/>
  </si>
  <si>
    <t>令和　   年　 月　　 日</t>
    <rPh sb="0" eb="2">
      <t>レイワ</t>
    </rPh>
    <rPh sb="6" eb="7">
      <t>ネン</t>
    </rPh>
    <rPh sb="9" eb="10">
      <t>ガツ</t>
    </rPh>
    <rPh sb="13" eb="14">
      <t>ニチ</t>
    </rPh>
    <phoneticPr fontId="29"/>
  </si>
  <si>
    <t>取得価格（購入費）</t>
    <rPh sb="0" eb="2">
      <t>シュトク</t>
    </rPh>
    <rPh sb="2" eb="4">
      <t>カカク</t>
    </rPh>
    <rPh sb="5" eb="8">
      <t>コウニュウヒ</t>
    </rPh>
    <phoneticPr fontId="62"/>
  </si>
  <si>
    <t>代表者住所</t>
    <rPh sb="0" eb="3">
      <t>ダイヒョウシャ</t>
    </rPh>
    <rPh sb="3" eb="5">
      <t>ジュウショ</t>
    </rPh>
    <phoneticPr fontId="29"/>
  </si>
  <si>
    <t>1、交付金に係る配分額及び共同取組活動の支出額</t>
  </si>
  <si>
    <t>協定名：　</t>
    <rPh sb="0" eb="2">
      <t>キョウテイ</t>
    </rPh>
    <rPh sb="2" eb="3">
      <t>メイ</t>
    </rPh>
    <phoneticPr fontId="29"/>
  </si>
  <si>
    <t>農作物の販売促進に係る経費</t>
    <rPh sb="0" eb="3">
      <t>ノウサクモツ</t>
    </rPh>
    <rPh sb="4" eb="6">
      <t>ハンバイ</t>
    </rPh>
    <rPh sb="6" eb="8">
      <t>ソクシン</t>
    </rPh>
    <rPh sb="9" eb="10">
      <t>カカ</t>
    </rPh>
    <rPh sb="11" eb="13">
      <t>ケイヒ</t>
    </rPh>
    <phoneticPr fontId="29"/>
  </si>
  <si>
    <t>支  出  額</t>
    <rPh sb="0" eb="1">
      <t>ササ</t>
    </rPh>
    <phoneticPr fontId="29"/>
  </si>
  <si>
    <t>区　　　　　分</t>
    <rPh sb="0" eb="1">
      <t>ク</t>
    </rPh>
    <rPh sb="6" eb="7">
      <t>ブン</t>
    </rPh>
    <phoneticPr fontId="29"/>
  </si>
  <si>
    <t>総          額</t>
  </si>
  <si>
    <t>R　　年中（令和　　年1月1日～令和　　年12月末日）に交付された額</t>
    <rPh sb="3" eb="4">
      <t>ネン</t>
    </rPh>
    <rPh sb="4" eb="5">
      <t>チュウ</t>
    </rPh>
    <rPh sb="6" eb="7">
      <t>レイ</t>
    </rPh>
    <rPh sb="7" eb="8">
      <t>カズ</t>
    </rPh>
    <rPh sb="10" eb="11">
      <t>ネン</t>
    </rPh>
    <rPh sb="12" eb="13">
      <t>ガツ</t>
    </rPh>
    <rPh sb="14" eb="15">
      <t>ニチ</t>
    </rPh>
    <rPh sb="16" eb="18">
      <t>レイワ</t>
    </rPh>
    <rPh sb="20" eb="21">
      <t>ネン</t>
    </rPh>
    <rPh sb="23" eb="24">
      <t>ガツ</t>
    </rPh>
    <rPh sb="24" eb="26">
      <t>マツジツ</t>
    </rPh>
    <rPh sb="28" eb="30">
      <t>コウフ</t>
    </rPh>
    <rPh sb="33" eb="34">
      <t>ガク</t>
    </rPh>
    <phoneticPr fontId="29"/>
  </si>
  <si>
    <t>配 分 等 の 基 礎</t>
  </si>
  <si>
    <r>
      <t xml:space="preserve"> (</t>
    </r>
    <r>
      <rPr>
        <sz val="11"/>
        <color theme="1"/>
        <rFont val="游ゴシック"/>
      </rPr>
      <t>A)</t>
    </r>
    <r>
      <rPr>
        <sz val="11"/>
        <color auto="1"/>
        <rFont val="ＭＳ 明朝"/>
      </rPr>
      <t xml:space="preserve"> 個  人  配  分</t>
    </r>
  </si>
  <si>
    <t>集落協定における法人の設立に係る経費</t>
  </si>
  <si>
    <r>
      <t xml:space="preserve"> (</t>
    </r>
    <r>
      <rPr>
        <sz val="11"/>
        <color theme="1"/>
        <rFont val="游ゴシック"/>
      </rPr>
      <t>B)</t>
    </r>
    <r>
      <rPr>
        <sz val="11"/>
        <color auto="1"/>
        <rFont val="ＭＳ 明朝"/>
      </rPr>
      <t xml:space="preserve"> 共 同 取 組 活 動 分</t>
    </r>
  </si>
  <si>
    <t>協定合計</t>
    <rPh sb="0" eb="2">
      <t>キョウテイ</t>
    </rPh>
    <rPh sb="3" eb="4">
      <t>シュウゴウ</t>
    </rPh>
    <phoneticPr fontId="29"/>
  </si>
  <si>
    <t>金額 ９</t>
  </si>
  <si>
    <t>支    出    額</t>
  </si>
  <si>
    <t>備  考</t>
  </si>
  <si>
    <t>R15.9</t>
  </si>
  <si>
    <t xml:space="preserve"> ④ 農地管理費</t>
    <rPh sb="3" eb="5">
      <t>ノウチ</t>
    </rPh>
    <rPh sb="5" eb="8">
      <t>カンリヒ</t>
    </rPh>
    <phoneticPr fontId="29"/>
  </si>
  <si>
    <t>個 人 配 分</t>
  </si>
  <si>
    <t>収  入  額</t>
  </si>
  <si>
    <t>支  出  額</t>
  </si>
  <si>
    <t>⑨</t>
  </si>
  <si>
    <t>日当、肥料、共同防除費、土壌改良に要した資材費、農作業受委託料金費用等</t>
    <rPh sb="0" eb="2">
      <t>ニットウ</t>
    </rPh>
    <rPh sb="3" eb="5">
      <t>ヒリョウ</t>
    </rPh>
    <rPh sb="6" eb="8">
      <t>キョウドウ</t>
    </rPh>
    <rPh sb="8" eb="10">
      <t>ボウジョ</t>
    </rPh>
    <rPh sb="10" eb="11">
      <t>ヒ</t>
    </rPh>
    <rPh sb="12" eb="14">
      <t>ドジョウ</t>
    </rPh>
    <rPh sb="14" eb="16">
      <t>カイリョウ</t>
    </rPh>
    <rPh sb="17" eb="18">
      <t>ヨウ</t>
    </rPh>
    <rPh sb="20" eb="22">
      <t>シザイ</t>
    </rPh>
    <rPh sb="22" eb="23">
      <t>ヒ</t>
    </rPh>
    <rPh sb="24" eb="27">
      <t>ノウサギョウ</t>
    </rPh>
    <rPh sb="27" eb="30">
      <t>ジュイタク</t>
    </rPh>
    <rPh sb="30" eb="32">
      <t>リョウキン</t>
    </rPh>
    <rPh sb="32" eb="34">
      <t>ヒヨウ</t>
    </rPh>
    <rPh sb="34" eb="35">
      <t>トウ</t>
    </rPh>
    <phoneticPr fontId="29"/>
  </si>
  <si>
    <t>協    定       参加者名</t>
  </si>
  <si>
    <t>出役賃金    等の計
(C)</t>
    <rPh sb="0" eb="1">
      <t>シュツ</t>
    </rPh>
    <rPh sb="1" eb="2">
      <t>エキ</t>
    </rPh>
    <rPh sb="2" eb="4">
      <t>チンギン</t>
    </rPh>
    <rPh sb="8" eb="9">
      <t>トウ</t>
    </rPh>
    <rPh sb="10" eb="11">
      <t>ケイ</t>
    </rPh>
    <phoneticPr fontId="29"/>
  </si>
  <si>
    <t>５期繰越金・積立金</t>
    <rPh sb="1" eb="2">
      <t>キ</t>
    </rPh>
    <rPh sb="2" eb="5">
      <t>クリコシキン</t>
    </rPh>
    <rPh sb="6" eb="9">
      <t>ツミタテキン</t>
    </rPh>
    <phoneticPr fontId="63"/>
  </si>
  <si>
    <t/>
  </si>
  <si>
    <t>合計</t>
    <rPh sb="0" eb="2">
      <t>ゴウケイ</t>
    </rPh>
    <phoneticPr fontId="29"/>
  </si>
  <si>
    <t>ため池草刈代</t>
    <rPh sb="2" eb="3">
      <t>イケ</t>
    </rPh>
    <rPh sb="3" eb="5">
      <t>クサカ</t>
    </rPh>
    <rPh sb="5" eb="6">
      <t>ダイ</t>
    </rPh>
    <phoneticPr fontId="29"/>
  </si>
  <si>
    <t>(A)+(B)+(C)</t>
  </si>
  <si>
    <t>島根　１３郎</t>
    <rPh sb="0" eb="2">
      <t>シマネ</t>
    </rPh>
    <rPh sb="5" eb="6">
      <t>ロウ</t>
    </rPh>
    <phoneticPr fontId="7"/>
  </si>
  <si>
    <t>合　　計</t>
  </si>
  <si>
    <t>代 表 印</t>
  </si>
  <si>
    <t>協定参加者別所得細目表</t>
    <rPh sb="0" eb="2">
      <t>キョウテイ</t>
    </rPh>
    <rPh sb="2" eb="5">
      <t>サンカシャ</t>
    </rPh>
    <rPh sb="5" eb="6">
      <t>ベツ</t>
    </rPh>
    <rPh sb="6" eb="8">
      <t>ショトク</t>
    </rPh>
    <rPh sb="8" eb="10">
      <t>サイモク</t>
    </rPh>
    <rPh sb="10" eb="11">
      <t>ヒョウ</t>
    </rPh>
    <phoneticPr fontId="29"/>
  </si>
  <si>
    <t>整理番号</t>
    <rPh sb="0" eb="2">
      <t>セイリ</t>
    </rPh>
    <rPh sb="2" eb="4">
      <t>バンゴウ</t>
    </rPh>
    <phoneticPr fontId="29"/>
  </si>
  <si>
    <t>③</t>
  </si>
  <si>
    <t>④</t>
  </si>
  <si>
    <t>⑥　④のうち</t>
  </si>
  <si>
    <t>所得金額</t>
    <rPh sb="0" eb="2">
      <t>ショトク</t>
    </rPh>
    <rPh sb="2" eb="4">
      <t>キンガク</t>
    </rPh>
    <phoneticPr fontId="29"/>
  </si>
  <si>
    <t>備　　　考</t>
    <rPh sb="0" eb="1">
      <t>ソナエ</t>
    </rPh>
    <rPh sb="4" eb="5">
      <t>コウ</t>
    </rPh>
    <phoneticPr fontId="62"/>
  </si>
  <si>
    <t>減価償却資産</t>
    <rPh sb="0" eb="2">
      <t>ゲンカ</t>
    </rPh>
    <rPh sb="2" eb="4">
      <t>ショウキャク</t>
    </rPh>
    <rPh sb="4" eb="6">
      <t>シサン</t>
    </rPh>
    <phoneticPr fontId="29"/>
  </si>
  <si>
    <t>減価償却費</t>
    <rPh sb="0" eb="2">
      <t>ゲンカ</t>
    </rPh>
    <rPh sb="2" eb="4">
      <t>ショウキャク</t>
    </rPh>
    <rPh sb="4" eb="5">
      <t>ヒ</t>
    </rPh>
    <phoneticPr fontId="29"/>
  </si>
  <si>
    <t>必要経費</t>
    <rPh sb="0" eb="2">
      <t>ヒツヨウ</t>
    </rPh>
    <rPh sb="2" eb="4">
      <t>ケイヒ</t>
    </rPh>
    <phoneticPr fontId="29"/>
  </si>
  <si>
    <t>協定代表者</t>
  </si>
  <si>
    <t>出役賃金等</t>
    <rPh sb="0" eb="1">
      <t>デ</t>
    </rPh>
    <rPh sb="1" eb="2">
      <t>エキ</t>
    </rPh>
    <rPh sb="2" eb="4">
      <t>チンギン</t>
    </rPh>
    <rPh sb="4" eb="5">
      <t>トウ</t>
    </rPh>
    <phoneticPr fontId="29"/>
  </si>
  <si>
    <t>（①＋②）</t>
  </si>
  <si>
    <t>しない支出額</t>
    <rPh sb="3" eb="4">
      <t>ササ</t>
    </rPh>
    <rPh sb="4" eb="5">
      <t>デ</t>
    </rPh>
    <rPh sb="5" eb="6">
      <t>ガク</t>
    </rPh>
    <phoneticPr fontId="29"/>
  </si>
  <si>
    <t>の取得金額</t>
    <rPh sb="1" eb="3">
      <t>シュトク</t>
    </rPh>
    <rPh sb="3" eb="5">
      <t>キンガク</t>
    </rPh>
    <phoneticPr fontId="29"/>
  </si>
  <si>
    <t>（④－⑤－⑥）</t>
  </si>
  <si>
    <t>（⑦＋⑧）</t>
  </si>
  <si>
    <t>③－⑨</t>
  </si>
  <si>
    <t>年間使用月数</t>
    <rPh sb="0" eb="2">
      <t>ネンカン</t>
    </rPh>
    <rPh sb="2" eb="4">
      <t>シヨウ</t>
    </rPh>
    <rPh sb="4" eb="6">
      <t>ツキスウ</t>
    </rPh>
    <phoneticPr fontId="62"/>
  </si>
  <si>
    <t>（注）　４　「⑤必要経費に該当しない支出額」欄は、農業と直接関連がないもの、協定活動でないもの等、必要経費と目されない支出額を協定参加者に按分して記入します。</t>
    <rPh sb="1" eb="2">
      <t>チュウ</t>
    </rPh>
    <rPh sb="8" eb="10">
      <t>ヒツヨウ</t>
    </rPh>
    <rPh sb="10" eb="12">
      <t>ケイヒ</t>
    </rPh>
    <rPh sb="13" eb="15">
      <t>ガイトウ</t>
    </rPh>
    <rPh sb="18" eb="21">
      <t>シシュツガク</t>
    </rPh>
    <rPh sb="22" eb="23">
      <t>ラン</t>
    </rPh>
    <rPh sb="25" eb="27">
      <t>ノウギョウ</t>
    </rPh>
    <rPh sb="28" eb="30">
      <t>チョクセツ</t>
    </rPh>
    <rPh sb="30" eb="32">
      <t>カンレン</t>
    </rPh>
    <rPh sb="38" eb="40">
      <t>キョウテイ</t>
    </rPh>
    <rPh sb="40" eb="42">
      <t>カツドウ</t>
    </rPh>
    <rPh sb="47" eb="48">
      <t>トウ</t>
    </rPh>
    <rPh sb="49" eb="51">
      <t>ヒツヨウ</t>
    </rPh>
    <rPh sb="51" eb="53">
      <t>ケイヒ</t>
    </rPh>
    <rPh sb="54" eb="55">
      <t>モク</t>
    </rPh>
    <rPh sb="63" eb="65">
      <t>キョウテイ</t>
    </rPh>
    <rPh sb="65" eb="68">
      <t>サンカシャ</t>
    </rPh>
    <rPh sb="69" eb="71">
      <t>アンブン</t>
    </rPh>
    <rPh sb="73" eb="75">
      <t>キニュウ</t>
    </rPh>
    <phoneticPr fontId="29"/>
  </si>
  <si>
    <t>協定参加者名　NO,</t>
    <rPh sb="0" eb="2">
      <t>キョウテイ</t>
    </rPh>
    <rPh sb="2" eb="5">
      <t>サンカシャ</t>
    </rPh>
    <rPh sb="5" eb="6">
      <t>メイ</t>
    </rPh>
    <phoneticPr fontId="29"/>
  </si>
  <si>
    <t>当年・過年</t>
    <rPh sb="0" eb="2">
      <t>トウネン</t>
    </rPh>
    <rPh sb="3" eb="4">
      <t>カ</t>
    </rPh>
    <rPh sb="4" eb="5">
      <t>ネン</t>
    </rPh>
    <phoneticPr fontId="62"/>
  </si>
  <si>
    <t>（注）　１　「①交付金」欄は、報告書の「2、協定参加者別細目」の「合計の収入額」⑰欄から移記します。</t>
    <rPh sb="1" eb="2">
      <t>チュウ</t>
    </rPh>
    <rPh sb="8" eb="11">
      <t>コウフキン</t>
    </rPh>
    <rPh sb="12" eb="13">
      <t>ラン</t>
    </rPh>
    <rPh sb="15" eb="18">
      <t>ホウコクショ</t>
    </rPh>
    <rPh sb="22" eb="24">
      <t>キョウテイ</t>
    </rPh>
    <rPh sb="24" eb="27">
      <t>サンカシャ</t>
    </rPh>
    <rPh sb="27" eb="28">
      <t>ベツ</t>
    </rPh>
    <rPh sb="28" eb="30">
      <t>サイモク</t>
    </rPh>
    <rPh sb="33" eb="35">
      <t>ゴウケイ</t>
    </rPh>
    <rPh sb="36" eb="38">
      <t>シュウニュウ</t>
    </rPh>
    <rPh sb="38" eb="39">
      <t>ガク</t>
    </rPh>
    <rPh sb="41" eb="42">
      <t>ラン</t>
    </rPh>
    <rPh sb="44" eb="45">
      <t>イ</t>
    </rPh>
    <rPh sb="45" eb="46">
      <t>キ</t>
    </rPh>
    <phoneticPr fontId="29"/>
  </si>
  <si>
    <t>様</t>
    <rPh sb="0" eb="1">
      <t>サマ</t>
    </rPh>
    <phoneticPr fontId="29"/>
  </si>
  <si>
    <t>支　出　額</t>
    <rPh sb="0" eb="1">
      <t>ササ</t>
    </rPh>
    <rPh sb="2" eb="3">
      <t>デ</t>
    </rPh>
    <rPh sb="4" eb="5">
      <t>ガク</t>
    </rPh>
    <phoneticPr fontId="29"/>
  </si>
  <si>
    <t>金額１１</t>
    <rPh sb="0" eb="2">
      <t>キンガク</t>
    </rPh>
    <phoneticPr fontId="29"/>
  </si>
  <si>
    <r>
      <t>⑥</t>
    </r>
    <r>
      <rPr>
        <sz val="9"/>
        <color auto="1"/>
        <rFont val="ＭＳ Ｐゴシック"/>
      </rPr>
      <t>　④のうち減価償却</t>
    </r>
    <rPh sb="6" eb="8">
      <t>ゲンカ</t>
    </rPh>
    <rPh sb="8" eb="10">
      <t>ショウキャク</t>
    </rPh>
    <phoneticPr fontId="29"/>
  </si>
  <si>
    <t>　　資産の取得金額</t>
    <rPh sb="2" eb="4">
      <t>シサン</t>
    </rPh>
    <rPh sb="5" eb="7">
      <t>シュトク</t>
    </rPh>
    <rPh sb="7" eb="9">
      <t>キンガク</t>
    </rPh>
    <phoneticPr fontId="29"/>
  </si>
  <si>
    <t>受益者の人数</t>
    <rPh sb="0" eb="3">
      <t>ジュエキシャ</t>
    </rPh>
    <rPh sb="4" eb="6">
      <t>ニンズウ</t>
    </rPh>
    <phoneticPr fontId="62"/>
  </si>
  <si>
    <t>（注）この計算表は、確定申告の参考資料としてください。</t>
    <rPh sb="1" eb="2">
      <t>チュウ</t>
    </rPh>
    <rPh sb="5" eb="7">
      <t>ケイサン</t>
    </rPh>
    <rPh sb="7" eb="8">
      <t>ヒョウ</t>
    </rPh>
    <rPh sb="10" eb="12">
      <t>カクテイ</t>
    </rPh>
    <rPh sb="12" eb="14">
      <t>シンコク</t>
    </rPh>
    <rPh sb="15" eb="17">
      <t>サンコウ</t>
    </rPh>
    <rPh sb="17" eb="19">
      <t>シリョウ</t>
    </rPh>
    <phoneticPr fontId="29"/>
  </si>
  <si>
    <t>減価償却費個別内訳</t>
    <rPh sb="0" eb="2">
      <t>ゲンカ</t>
    </rPh>
    <rPh sb="2" eb="5">
      <t>ショウキャクヒ</t>
    </rPh>
    <rPh sb="5" eb="7">
      <t>コベツ</t>
    </rPh>
    <rPh sb="7" eb="9">
      <t>ウチワケ</t>
    </rPh>
    <phoneticPr fontId="62"/>
  </si>
  <si>
    <t>○</t>
  </si>
  <si>
    <t>参加者氏名</t>
    <rPh sb="0" eb="3">
      <t>サンカシャ</t>
    </rPh>
    <rPh sb="3" eb="5">
      <t>シメイ</t>
    </rPh>
    <phoneticPr fontId="62"/>
  </si>
  <si>
    <t>R1.3</t>
  </si>
  <si>
    <t>当年における
個人の減価償却費合計</t>
    <rPh sb="0" eb="2">
      <t>トウネン</t>
    </rPh>
    <rPh sb="7" eb="9">
      <t>コジン</t>
    </rPh>
    <rPh sb="10" eb="12">
      <t>ゲンカ</t>
    </rPh>
    <rPh sb="12" eb="15">
      <t>ショウキャクヒ</t>
    </rPh>
    <rPh sb="15" eb="17">
      <t>ゴウケイ</t>
    </rPh>
    <phoneticPr fontId="62"/>
  </si>
  <si>
    <t>作業名</t>
    <rPh sb="0" eb="2">
      <t>サギョウ</t>
    </rPh>
    <rPh sb="2" eb="3">
      <t>メイ</t>
    </rPh>
    <phoneticPr fontId="7"/>
  </si>
  <si>
    <t>ⓐ番号</t>
    <rPh sb="1" eb="3">
      <t>バンゴウ</t>
    </rPh>
    <phoneticPr fontId="62"/>
  </si>
  <si>
    <t>ⓑ番号</t>
    <rPh sb="1" eb="3">
      <t>バンゴウ</t>
    </rPh>
    <phoneticPr fontId="62"/>
  </si>
  <si>
    <t>【注意事項】</t>
    <rPh sb="1" eb="3">
      <t>チュウイ</t>
    </rPh>
    <rPh sb="3" eb="5">
      <t>ジコウ</t>
    </rPh>
    <phoneticPr fontId="29"/>
  </si>
  <si>
    <t>取得年月</t>
    <rPh sb="0" eb="2">
      <t>シュトク</t>
    </rPh>
    <rPh sb="2" eb="4">
      <t>ネンゲツ</t>
    </rPh>
    <phoneticPr fontId="62"/>
  </si>
  <si>
    <t>÷</t>
  </si>
  <si>
    <t>＝</t>
  </si>
  <si>
    <t xml:space="preserve"> ⑪ 農産物等の販売促進関係費</t>
    <rPh sb="3" eb="6">
      <t>ノウサンブツ</t>
    </rPh>
    <rPh sb="6" eb="7">
      <t>トウ</t>
    </rPh>
    <rPh sb="8" eb="10">
      <t>ハンバイ</t>
    </rPh>
    <rPh sb="10" eb="12">
      <t>ソクシン</t>
    </rPh>
    <rPh sb="12" eb="15">
      <t>カンケイヒ</t>
    </rPh>
    <phoneticPr fontId="29"/>
  </si>
  <si>
    <t xml:space="preserve">１人当りの所要額 </t>
    <rPh sb="1" eb="2">
      <t>ヒト</t>
    </rPh>
    <rPh sb="2" eb="3">
      <t>ア</t>
    </rPh>
    <rPh sb="5" eb="8">
      <t>ショヨウガク</t>
    </rPh>
    <phoneticPr fontId="62"/>
  </si>
  <si>
    <r>
      <t>１人当りの所要額が
 ⓐ 10万円未満
   　→</t>
    </r>
    <r>
      <rPr>
        <sz val="12"/>
        <color auto="1"/>
        <rFont val="ＭＳ Ｐ明朝"/>
      </rPr>
      <t>全額当年の必要経費</t>
    </r>
    <r>
      <rPr>
        <sz val="12"/>
        <color auto="1"/>
        <rFont val="ＭＳ ゴシック"/>
      </rPr>
      <t xml:space="preserve">
 ⓑ 10万円以上20万円未満
   　→</t>
    </r>
    <r>
      <rPr>
        <sz val="12"/>
        <color auto="1"/>
        <rFont val="ＭＳ Ｐ明朝"/>
      </rPr>
      <t>3年間同額で償却</t>
    </r>
    <r>
      <rPr>
        <sz val="12"/>
        <color auto="1"/>
        <rFont val="ＭＳ ゴシック"/>
      </rPr>
      <t xml:space="preserve">
 ⓒ 20万円以上
   　→</t>
    </r>
    <r>
      <rPr>
        <sz val="12"/>
        <color auto="1"/>
        <rFont val="ＭＳ Ｐ明朝"/>
      </rPr>
      <t>耐用年数で償却</t>
    </r>
    <rPh sb="1" eb="2">
      <t>ヒト</t>
    </rPh>
    <rPh sb="2" eb="3">
      <t>ア</t>
    </rPh>
    <rPh sb="5" eb="8">
      <t>ショヨウガク</t>
    </rPh>
    <rPh sb="16" eb="17">
      <t>マン</t>
    </rPh>
    <rPh sb="17" eb="20">
      <t>エンミマン</t>
    </rPh>
    <rPh sb="26" eb="28">
      <t>ゼンガク</t>
    </rPh>
    <rPh sb="28" eb="30">
      <t>トウネン</t>
    </rPh>
    <rPh sb="31" eb="33">
      <t>ヒツヨウ</t>
    </rPh>
    <rPh sb="33" eb="35">
      <t>ケイヒ</t>
    </rPh>
    <rPh sb="41" eb="42">
      <t>マン</t>
    </rPh>
    <rPh sb="42" eb="45">
      <t>エンイジョウ</t>
    </rPh>
    <rPh sb="47" eb="48">
      <t>マン</t>
    </rPh>
    <rPh sb="48" eb="51">
      <t>エンミマン</t>
    </rPh>
    <rPh sb="58" eb="59">
      <t>ネン</t>
    </rPh>
    <rPh sb="59" eb="60">
      <t>カン</t>
    </rPh>
    <rPh sb="60" eb="62">
      <t>ドウガク</t>
    </rPh>
    <rPh sb="63" eb="65">
      <t>ショウキャク</t>
    </rPh>
    <rPh sb="71" eb="72">
      <t>マン</t>
    </rPh>
    <rPh sb="72" eb="75">
      <t>エンイジョウ</t>
    </rPh>
    <rPh sb="81" eb="83">
      <t>タイヨウ</t>
    </rPh>
    <rPh sb="83" eb="85">
      <t>ネンスウ</t>
    </rPh>
    <rPh sb="86" eb="88">
      <t>ショウキャク</t>
    </rPh>
    <phoneticPr fontId="62"/>
  </si>
  <si>
    <t>過年</t>
    <rPh sb="0" eb="1">
      <t>カ</t>
    </rPh>
    <rPh sb="1" eb="2">
      <t>ネン</t>
    </rPh>
    <phoneticPr fontId="62"/>
  </si>
  <si>
    <t>トラクタ</t>
  </si>
  <si>
    <t>金額 ４</t>
  </si>
  <si>
    <r>
      <t>１人当りの所要額が
 ⓑ 10万円以上20万円未満
   　→</t>
    </r>
    <r>
      <rPr>
        <sz val="12"/>
        <color auto="1"/>
        <rFont val="ＭＳ Ｐ明朝"/>
      </rPr>
      <t>3年間同額で償却</t>
    </r>
    <r>
      <rPr>
        <sz val="12"/>
        <color auto="1"/>
        <rFont val="ＭＳ ゴシック"/>
      </rPr>
      <t xml:space="preserve">
 ⓒ 20万円以上
   　→</t>
    </r>
    <r>
      <rPr>
        <sz val="12"/>
        <color auto="1"/>
        <rFont val="ＭＳ Ｐ明朝"/>
      </rPr>
      <t>耐用年数で償却</t>
    </r>
    <rPh sb="1" eb="2">
      <t>ヒト</t>
    </rPh>
    <rPh sb="2" eb="3">
      <t>ア</t>
    </rPh>
    <rPh sb="5" eb="8">
      <t>ショヨウガク</t>
    </rPh>
    <rPh sb="16" eb="17">
      <t>マン</t>
    </rPh>
    <rPh sb="17" eb="20">
      <t>エンイジョウ</t>
    </rPh>
    <rPh sb="22" eb="23">
      <t>マン</t>
    </rPh>
    <rPh sb="23" eb="26">
      <t>エンミマン</t>
    </rPh>
    <rPh sb="33" eb="34">
      <t>ネン</t>
    </rPh>
    <rPh sb="34" eb="35">
      <t>カン</t>
    </rPh>
    <rPh sb="35" eb="37">
      <t>ドウガク</t>
    </rPh>
    <rPh sb="38" eb="40">
      <t>ショウキャク</t>
    </rPh>
    <rPh sb="46" eb="47">
      <t>マン</t>
    </rPh>
    <rPh sb="47" eb="50">
      <t>エンイジョウ</t>
    </rPh>
    <rPh sb="56" eb="58">
      <t>タイヨウ</t>
    </rPh>
    <rPh sb="58" eb="60">
      <t>ネンスウ</t>
    </rPh>
    <rPh sb="61" eb="63">
      <t>ショウキャク</t>
    </rPh>
    <phoneticPr fontId="62"/>
  </si>
  <si>
    <t>農薬撒布用ドローン</t>
    <rPh sb="0" eb="2">
      <t>ノウヤク</t>
    </rPh>
    <rPh sb="2" eb="4">
      <t>サンプ</t>
    </rPh>
    <rPh sb="4" eb="5">
      <t>ヨウ</t>
    </rPh>
    <phoneticPr fontId="29"/>
  </si>
  <si>
    <t>ⓐ１人当たり１０万円未満</t>
    <rPh sb="2" eb="3">
      <t>ヒト</t>
    </rPh>
    <rPh sb="3" eb="4">
      <t>ア</t>
    </rPh>
    <rPh sb="8" eb="10">
      <t>マンエン</t>
    </rPh>
    <rPh sb="10" eb="11">
      <t>ミ</t>
    </rPh>
    <rPh sb="11" eb="12">
      <t>マン</t>
    </rPh>
    <phoneticPr fontId="62"/>
  </si>
  <si>
    <t>４．６期分の共同取組活動費と合算で支出をした場合（例：機械の購入等）は、上記支出には５期分の支出のみ記入してください。</t>
    <rPh sb="3" eb="5">
      <t>キブン</t>
    </rPh>
    <rPh sb="6" eb="8">
      <t>キョウドウ</t>
    </rPh>
    <rPh sb="8" eb="10">
      <t>トリクミ</t>
    </rPh>
    <rPh sb="10" eb="13">
      <t>カツドウヒ</t>
    </rPh>
    <rPh sb="14" eb="16">
      <t>ガッサン</t>
    </rPh>
    <rPh sb="17" eb="19">
      <t>シシュツ</t>
    </rPh>
    <rPh sb="22" eb="24">
      <t>バアイ</t>
    </rPh>
    <rPh sb="25" eb="26">
      <t>レイ</t>
    </rPh>
    <rPh sb="27" eb="29">
      <t>キカイ</t>
    </rPh>
    <rPh sb="30" eb="32">
      <t>コウニュウ</t>
    </rPh>
    <rPh sb="32" eb="33">
      <t>トウ</t>
    </rPh>
    <rPh sb="36" eb="38">
      <t>ジョウキ</t>
    </rPh>
    <rPh sb="38" eb="40">
      <t>シシュツ</t>
    </rPh>
    <rPh sb="43" eb="45">
      <t>キブン</t>
    </rPh>
    <rPh sb="46" eb="48">
      <t>シシュツ</t>
    </rPh>
    <rPh sb="50" eb="52">
      <t>キニュウ</t>
    </rPh>
    <phoneticPr fontId="29"/>
  </si>
  <si>
    <t xml:space="preserve"> </t>
  </si>
  <si>
    <t>償却期間（報告年を記載）</t>
    <rPh sb="0" eb="2">
      <t>ショウキャク</t>
    </rPh>
    <rPh sb="2" eb="4">
      <t>キカン</t>
    </rPh>
    <rPh sb="5" eb="7">
      <t>ホウコク</t>
    </rPh>
    <rPh sb="7" eb="8">
      <t>ドシ</t>
    </rPh>
    <rPh sb="9" eb="11">
      <t>キサイ</t>
    </rPh>
    <phoneticPr fontId="62"/>
  </si>
  <si>
    <r>
      <t xml:space="preserve">○○市町村長  </t>
    </r>
    <r>
      <rPr>
        <b/>
        <sz val="12"/>
        <color auto="1"/>
        <rFont val="ＭＳ Ｐゴシック"/>
      </rPr>
      <t xml:space="preserve"> ○○　○○　</t>
    </r>
    <r>
      <rPr>
        <sz val="11"/>
        <color theme="1"/>
        <rFont val="游ゴシック"/>
      </rPr>
      <t>様</t>
    </r>
    <rPh sb="2" eb="4">
      <t>シチョウ</t>
    </rPh>
    <rPh sb="5" eb="6">
      <t>チョウ</t>
    </rPh>
    <rPh sb="15" eb="16">
      <t>サマ</t>
    </rPh>
    <phoneticPr fontId="29"/>
  </si>
  <si>
    <t>～</t>
  </si>
  <si>
    <t>総　計</t>
    <rPh sb="0" eb="1">
      <t>ソウ</t>
    </rPh>
    <rPh sb="2" eb="3">
      <t>ケイ</t>
    </rPh>
    <phoneticPr fontId="29"/>
  </si>
  <si>
    <t>ⓒ-1　１人当たり２０万円以上（当年購入のもの）</t>
    <rPh sb="5" eb="6">
      <t>ヒト</t>
    </rPh>
    <rPh sb="6" eb="7">
      <t>ア</t>
    </rPh>
    <rPh sb="11" eb="13">
      <t>マンエン</t>
    </rPh>
    <rPh sb="13" eb="15">
      <t>イジョウ</t>
    </rPh>
    <rPh sb="16" eb="18">
      <t>トウネン</t>
    </rPh>
    <rPh sb="18" eb="20">
      <t>コウニュウ</t>
    </rPh>
    <phoneticPr fontId="62"/>
  </si>
  <si>
    <t>１人当り所要額</t>
    <rPh sb="1" eb="2">
      <t>ヒト</t>
    </rPh>
    <rPh sb="2" eb="3">
      <t>ア</t>
    </rPh>
    <rPh sb="4" eb="7">
      <t>ショヨウガク</t>
    </rPh>
    <phoneticPr fontId="62"/>
  </si>
  <si>
    <t>ⓒ-2　１人当たり２０万円以上（償却中のもの）</t>
    <rPh sb="5" eb="6">
      <t>ヒト</t>
    </rPh>
    <rPh sb="6" eb="7">
      <t>ア</t>
    </rPh>
    <rPh sb="11" eb="13">
      <t>マンエン</t>
    </rPh>
    <rPh sb="13" eb="15">
      <t>イジョウ</t>
    </rPh>
    <rPh sb="16" eb="18">
      <t>ショウキャク</t>
    </rPh>
    <rPh sb="18" eb="19">
      <t>チュウ</t>
    </rPh>
    <phoneticPr fontId="62"/>
  </si>
  <si>
    <t>償却率</t>
    <rPh sb="0" eb="3">
      <t>ショウキャクリツ</t>
    </rPh>
    <phoneticPr fontId="62"/>
  </si>
  <si>
    <t>ヶ月／12ヶ月</t>
    <rPh sb="1" eb="2">
      <t>ゲツ</t>
    </rPh>
    <rPh sb="6" eb="7">
      <t>ゲツ</t>
    </rPh>
    <phoneticPr fontId="62"/>
  </si>
  <si>
    <t>コンバイン</t>
  </si>
  <si>
    <r>
      <t>中山間地域等直接支払交付金に係る所得計算表(令和</t>
    </r>
    <r>
      <rPr>
        <sz val="12"/>
        <color rgb="FFFF0000"/>
        <rFont val="ＭＳ Ｐゴシック"/>
      </rPr>
      <t>８</t>
    </r>
    <r>
      <rPr>
        <sz val="12"/>
        <color auto="1"/>
        <rFont val="ＭＳ Ｐゴシック"/>
      </rPr>
      <t>年)</t>
    </r>
    <rPh sb="0" eb="1">
      <t>チュウ</t>
    </rPh>
    <rPh sb="1" eb="3">
      <t>サンカン</t>
    </rPh>
    <rPh sb="3" eb="5">
      <t>チイキ</t>
    </rPh>
    <rPh sb="5" eb="6">
      <t>トウ</t>
    </rPh>
    <rPh sb="6" eb="8">
      <t>チョクセツ</t>
    </rPh>
    <rPh sb="8" eb="10">
      <t>シハラ</t>
    </rPh>
    <rPh sb="10" eb="13">
      <t>コウフキン</t>
    </rPh>
    <rPh sb="14" eb="15">
      <t>カカ</t>
    </rPh>
    <rPh sb="16" eb="18">
      <t>ショトク</t>
    </rPh>
    <rPh sb="18" eb="20">
      <t>ケイサン</t>
    </rPh>
    <rPh sb="20" eb="21">
      <t>ヒョウ</t>
    </rPh>
    <rPh sb="22" eb="24">
      <t>レイワ</t>
    </rPh>
    <phoneticPr fontId="29"/>
  </si>
  <si>
    <t>資産の耐用年数及び償却率（代表的なもののみ抜粋）</t>
    <rPh sb="0" eb="2">
      <t>シサン</t>
    </rPh>
    <rPh sb="3" eb="5">
      <t>タイヨウ</t>
    </rPh>
    <rPh sb="5" eb="7">
      <t>ネンスウ</t>
    </rPh>
    <rPh sb="7" eb="8">
      <t>オヨ</t>
    </rPh>
    <rPh sb="9" eb="12">
      <t>ショウキャクリツ</t>
    </rPh>
    <rPh sb="13" eb="16">
      <t>ダイヒョウテキ</t>
    </rPh>
    <rPh sb="21" eb="23">
      <t>バッスイ</t>
    </rPh>
    <phoneticPr fontId="62"/>
  </si>
  <si>
    <t>ⓑの合計額</t>
    <rPh sb="2" eb="5">
      <t>ゴウケイガク</t>
    </rPh>
    <phoneticPr fontId="62"/>
  </si>
  <si>
    <t>R8</t>
  </si>
  <si>
    <t>島根　１４郎</t>
    <rPh sb="0" eb="2">
      <t>シマネ</t>
    </rPh>
    <rPh sb="5" eb="6">
      <t>ロウ</t>
    </rPh>
    <phoneticPr fontId="7"/>
  </si>
  <si>
    <t>トラクター・田植え機・草刈り機等の購入や修理、燃料代、機械購入に要した借入金の返済金、機械組合への助成費等</t>
    <rPh sb="6" eb="8">
      <t>タウ</t>
    </rPh>
    <rPh sb="9" eb="10">
      <t>キ</t>
    </rPh>
    <rPh sb="11" eb="13">
      <t>クサカ</t>
    </rPh>
    <rPh sb="14" eb="15">
      <t>キ</t>
    </rPh>
    <rPh sb="15" eb="16">
      <t>トウ</t>
    </rPh>
    <rPh sb="17" eb="19">
      <t>コウニュウ</t>
    </rPh>
    <rPh sb="20" eb="22">
      <t>シュウリ</t>
    </rPh>
    <rPh sb="23" eb="26">
      <t>ネンリョウダイ</t>
    </rPh>
    <rPh sb="27" eb="29">
      <t>キカイ</t>
    </rPh>
    <rPh sb="29" eb="31">
      <t>コウニュウ</t>
    </rPh>
    <rPh sb="32" eb="33">
      <t>ヨウ</t>
    </rPh>
    <rPh sb="35" eb="37">
      <t>カリイレ</t>
    </rPh>
    <rPh sb="37" eb="38">
      <t>キン</t>
    </rPh>
    <rPh sb="39" eb="41">
      <t>ヘンサイ</t>
    </rPh>
    <rPh sb="41" eb="42">
      <t>キン</t>
    </rPh>
    <rPh sb="43" eb="45">
      <t>キカイ</t>
    </rPh>
    <rPh sb="45" eb="47">
      <t>クミアイ</t>
    </rPh>
    <rPh sb="49" eb="51">
      <t>ジョセイ</t>
    </rPh>
    <rPh sb="51" eb="52">
      <t>ヒ</t>
    </rPh>
    <rPh sb="52" eb="53">
      <t>トウ</t>
    </rPh>
    <phoneticPr fontId="29"/>
  </si>
  <si>
    <t>協定名</t>
    <rPh sb="0" eb="2">
      <t>キョウテイ</t>
    </rPh>
    <phoneticPr fontId="29"/>
  </si>
  <si>
    <t>⑭の欄は、1の(1)の(A)の額(個人配分分)を協定の按分方法により配分した金額。計は1の(1)の(A)と一致。</t>
    <rPh sb="2" eb="3">
      <t>ラン</t>
    </rPh>
    <rPh sb="15" eb="16">
      <t>ガク</t>
    </rPh>
    <rPh sb="17" eb="19">
      <t>コジン</t>
    </rPh>
    <rPh sb="19" eb="21">
      <t>ハイブン</t>
    </rPh>
    <rPh sb="21" eb="22">
      <t>ブン</t>
    </rPh>
    <rPh sb="24" eb="26">
      <t>キョウテイ</t>
    </rPh>
    <rPh sb="27" eb="29">
      <t>アンブン</t>
    </rPh>
    <rPh sb="29" eb="31">
      <t>ホウホウ</t>
    </rPh>
    <rPh sb="34" eb="36">
      <t>ハイブン</t>
    </rPh>
    <rPh sb="38" eb="39">
      <t>キン</t>
    </rPh>
    <rPh sb="39" eb="40">
      <t>ガク</t>
    </rPh>
    <rPh sb="41" eb="42">
      <t>ケイ</t>
    </rPh>
    <rPh sb="53" eb="55">
      <t>イッチ</t>
    </rPh>
    <phoneticPr fontId="29"/>
  </si>
  <si>
    <t>ⓒ-2番号</t>
    <rPh sb="3" eb="5">
      <t>バンゴウ</t>
    </rPh>
    <phoneticPr fontId="62"/>
  </si>
  <si>
    <t>島根　２郎</t>
    <rPh sb="0" eb="2">
      <t>シマネ</t>
    </rPh>
    <rPh sb="4" eb="5">
      <t>ロウ</t>
    </rPh>
    <phoneticPr fontId="7"/>
  </si>
  <si>
    <t>日当、草刈機の替刃、補修資材、水利組合等への委託費等</t>
    <rPh sb="0" eb="2">
      <t>ニットウ</t>
    </rPh>
    <rPh sb="3" eb="5">
      <t>クサカ</t>
    </rPh>
    <rPh sb="5" eb="6">
      <t>キ</t>
    </rPh>
    <rPh sb="7" eb="9">
      <t>カエバ</t>
    </rPh>
    <rPh sb="10" eb="12">
      <t>ホシュウ</t>
    </rPh>
    <rPh sb="12" eb="14">
      <t>シザイ</t>
    </rPh>
    <rPh sb="15" eb="17">
      <t>スイリ</t>
    </rPh>
    <rPh sb="17" eb="19">
      <t>クミアイ</t>
    </rPh>
    <rPh sb="19" eb="20">
      <t>トウ</t>
    </rPh>
    <rPh sb="22" eb="25">
      <t>イタクヒ</t>
    </rPh>
    <rPh sb="25" eb="26">
      <t>トウ</t>
    </rPh>
    <phoneticPr fontId="29"/>
  </si>
  <si>
    <t>〇〇草刈代</t>
    <rPh sb="2" eb="4">
      <t>クサカ</t>
    </rPh>
    <rPh sb="4" eb="5">
      <t>ダイ</t>
    </rPh>
    <phoneticPr fontId="29"/>
  </si>
  <si>
    <t>農産物等の販売促進関係費</t>
    <rPh sb="0" eb="3">
      <t>ノウサンブツ</t>
    </rPh>
    <rPh sb="3" eb="4">
      <t>トウ</t>
    </rPh>
    <rPh sb="5" eb="7">
      <t>ハンバイ</t>
    </rPh>
    <rPh sb="7" eb="9">
      <t>ソクシン</t>
    </rPh>
    <rPh sb="9" eb="12">
      <t>カンケイヒ</t>
    </rPh>
    <phoneticPr fontId="7"/>
  </si>
  <si>
    <t>農産物等の販売促進関係費</t>
    <rPh sb="0" eb="3">
      <t>ノウサンブツ</t>
    </rPh>
    <rPh sb="3" eb="4">
      <t>トウ</t>
    </rPh>
    <rPh sb="5" eb="7">
      <t>ハンバイ</t>
    </rPh>
    <rPh sb="7" eb="9">
      <t>ソクシン</t>
    </rPh>
    <rPh sb="9" eb="12">
      <t>カンケイヒ</t>
    </rPh>
    <phoneticPr fontId="29"/>
  </si>
  <si>
    <t>土地利用調整関係費</t>
    <rPh sb="0" eb="4">
      <t>トチリヨウ</t>
    </rPh>
    <rPh sb="4" eb="6">
      <t>チョウセイ</t>
    </rPh>
    <rPh sb="6" eb="9">
      <t>カンケイヒ</t>
    </rPh>
    <phoneticPr fontId="29"/>
  </si>
  <si>
    <t>土地利用調整に係る経費</t>
  </si>
  <si>
    <t>ⓒ-3　１人当たり２０万円以上（最終年）</t>
    <rPh sb="5" eb="6">
      <t>ヒト</t>
    </rPh>
    <rPh sb="6" eb="7">
      <t>ア</t>
    </rPh>
    <rPh sb="11" eb="13">
      <t>マンエン</t>
    </rPh>
    <rPh sb="13" eb="15">
      <t>イジョウ</t>
    </rPh>
    <rPh sb="16" eb="19">
      <t>サイシュウネン</t>
    </rPh>
    <phoneticPr fontId="62"/>
  </si>
  <si>
    <t>利用権の設定、農作業の委託費の話し合い経費等</t>
  </si>
  <si>
    <t>代表者、会計、書記担当など、協定に定められた役員に対する報酬</t>
    <rPh sb="0" eb="3">
      <t>ダイヒョウシャ</t>
    </rPh>
    <rPh sb="4" eb="6">
      <t>カイケイ</t>
    </rPh>
    <rPh sb="7" eb="9">
      <t>ショキ</t>
    </rPh>
    <rPh sb="9" eb="11">
      <t>タントウ</t>
    </rPh>
    <rPh sb="14" eb="16">
      <t>キョウテイ</t>
    </rPh>
    <rPh sb="17" eb="18">
      <t>サダ</t>
    </rPh>
    <rPh sb="22" eb="24">
      <t>ヤクイン</t>
    </rPh>
    <rPh sb="25" eb="26">
      <t>タイ</t>
    </rPh>
    <rPh sb="28" eb="30">
      <t>ホウシュウ</t>
    </rPh>
    <phoneticPr fontId="29"/>
  </si>
  <si>
    <t>協定参加者が参加する各種研修会等に要した費用</t>
    <rPh sb="0" eb="2">
      <t>キョウテイ</t>
    </rPh>
    <rPh sb="2" eb="4">
      <t>サンカ</t>
    </rPh>
    <rPh sb="4" eb="5">
      <t>シャ</t>
    </rPh>
    <rPh sb="6" eb="8">
      <t>サンカ</t>
    </rPh>
    <rPh sb="10" eb="12">
      <t>カクシュ</t>
    </rPh>
    <rPh sb="12" eb="15">
      <t>ケンシュウカイ</t>
    </rPh>
    <rPh sb="15" eb="16">
      <t>トウ</t>
    </rPh>
    <rPh sb="17" eb="18">
      <t>ヨウ</t>
    </rPh>
    <rPh sb="20" eb="22">
      <t>ヒヨウ</t>
    </rPh>
    <phoneticPr fontId="29"/>
  </si>
  <si>
    <t>会場使用料、視察等に要したバス借上げ料、講師謝礼、資料印刷費等</t>
    <rPh sb="0" eb="2">
      <t>カイジョウ</t>
    </rPh>
    <rPh sb="2" eb="5">
      <t>シヨウリョウ</t>
    </rPh>
    <rPh sb="6" eb="8">
      <t>シサツ</t>
    </rPh>
    <rPh sb="8" eb="9">
      <t>トウ</t>
    </rPh>
    <rPh sb="10" eb="11">
      <t>ヨウ</t>
    </rPh>
    <rPh sb="15" eb="17">
      <t>カリア</t>
    </rPh>
    <rPh sb="18" eb="19">
      <t>リョウ</t>
    </rPh>
    <rPh sb="20" eb="22">
      <t>コウシ</t>
    </rPh>
    <rPh sb="22" eb="24">
      <t>シャレイ</t>
    </rPh>
    <rPh sb="25" eb="27">
      <t>シリョウ</t>
    </rPh>
    <rPh sb="27" eb="29">
      <t>インサツ</t>
    </rPh>
    <rPh sb="29" eb="30">
      <t>ヒ</t>
    </rPh>
    <rPh sb="30" eb="31">
      <t>トウ</t>
    </rPh>
    <phoneticPr fontId="29"/>
  </si>
  <si>
    <t>パッケージ、パンフの作成、ブランド化に係る経費等</t>
    <rPh sb="10" eb="12">
      <t>サクセイ</t>
    </rPh>
    <rPh sb="17" eb="18">
      <t>カ</t>
    </rPh>
    <rPh sb="19" eb="20">
      <t>カカ</t>
    </rPh>
    <rPh sb="21" eb="23">
      <t>ケイヒ</t>
    </rPh>
    <rPh sb="23" eb="24">
      <t>トウ</t>
    </rPh>
    <phoneticPr fontId="29"/>
  </si>
  <si>
    <t>都市交流に係る経費</t>
    <rPh sb="0" eb="2">
      <t>トシ</t>
    </rPh>
    <rPh sb="2" eb="4">
      <t>コウリュウ</t>
    </rPh>
    <rPh sb="5" eb="6">
      <t>カカ</t>
    </rPh>
    <rPh sb="7" eb="9">
      <t>ケイヒ</t>
    </rPh>
    <phoneticPr fontId="29"/>
  </si>
  <si>
    <t>施設の設置・運営、文化の伝承、棚田オーナーによる農作業の体験学習経費等</t>
    <rPh sb="9" eb="11">
      <t>ブンカ</t>
    </rPh>
    <rPh sb="12" eb="14">
      <t>デンショウ</t>
    </rPh>
    <rPh sb="24" eb="27">
      <t>ノウサギョウ</t>
    </rPh>
    <rPh sb="28" eb="30">
      <t>タイケン</t>
    </rPh>
    <rPh sb="30" eb="32">
      <t>ガクシュウ</t>
    </rPh>
    <rPh sb="32" eb="34">
      <t>ケイヒ</t>
    </rPh>
    <phoneticPr fontId="29"/>
  </si>
  <si>
    <t>上記以外の共同取組活動費</t>
    <rPh sb="0" eb="2">
      <t>ジョウキ</t>
    </rPh>
    <rPh sb="2" eb="4">
      <t>イガイ</t>
    </rPh>
    <rPh sb="5" eb="7">
      <t>キョウドウ</t>
    </rPh>
    <rPh sb="7" eb="9">
      <t>トリクミ</t>
    </rPh>
    <rPh sb="9" eb="12">
      <t>カツドウヒ</t>
    </rPh>
    <phoneticPr fontId="29"/>
  </si>
  <si>
    <t>個人配分
(A)</t>
    <rPh sb="0" eb="2">
      <t>コジン</t>
    </rPh>
    <rPh sb="2" eb="4">
      <t>ハイブン</t>
    </rPh>
    <phoneticPr fontId="29"/>
  </si>
  <si>
    <t>育苗施設、集出荷施設、処理加工施設、販売施設、農機具庫、その他協定参加者の共同利用に供する施設等に係る建設費、施設補修費、施設運営費等</t>
    <rPh sb="23" eb="26">
      <t>ノウキグ</t>
    </rPh>
    <rPh sb="26" eb="27">
      <t>コ</t>
    </rPh>
    <rPh sb="30" eb="31">
      <t>タ</t>
    </rPh>
    <phoneticPr fontId="29"/>
  </si>
  <si>
    <t>金額１３</t>
  </si>
  <si>
    <t>単位：円</t>
    <rPh sb="0" eb="2">
      <t>タンイ</t>
    </rPh>
    <rPh sb="3" eb="4">
      <t>エン</t>
    </rPh>
    <phoneticPr fontId="7"/>
  </si>
  <si>
    <t>R6</t>
  </si>
  <si>
    <t>過年</t>
    <rPh sb="0" eb="1">
      <t>カ</t>
    </rPh>
    <rPh sb="1" eb="2">
      <t>ネン</t>
    </rPh>
    <phoneticPr fontId="7"/>
  </si>
  <si>
    <t>１．令和　　年１月１日～令和　　年１２月３１日の収支を記入してください。</t>
    <rPh sb="2" eb="4">
      <t>レイワ</t>
    </rPh>
    <rPh sb="6" eb="7">
      <t>ネン</t>
    </rPh>
    <rPh sb="8" eb="9">
      <t>ガツ</t>
    </rPh>
    <rPh sb="10" eb="11">
      <t>ニチ</t>
    </rPh>
    <rPh sb="12" eb="14">
      <t>レイワ</t>
    </rPh>
    <rPh sb="16" eb="17">
      <t>ネン</t>
    </rPh>
    <rPh sb="19" eb="20">
      <t>ガツ</t>
    </rPh>
    <rPh sb="22" eb="23">
      <t>ニチ</t>
    </rPh>
    <rPh sb="24" eb="26">
      <t>シュウシ</t>
    </rPh>
    <rPh sb="27" eb="29">
      <t>キニュウ</t>
    </rPh>
    <phoneticPr fontId="29"/>
  </si>
  <si>
    <t>⑭</t>
  </si>
  <si>
    <t>道･水路
管理費</t>
    <rPh sb="0" eb="1">
      <t>ミチ</t>
    </rPh>
    <rPh sb="2" eb="4">
      <t>スイロ</t>
    </rPh>
    <rPh sb="5" eb="8">
      <t>カンリヒ</t>
    </rPh>
    <phoneticPr fontId="29"/>
  </si>
  <si>
    <t xml:space="preserve">  ２、協定参加者別細目</t>
  </si>
  <si>
    <t>⑯の欄は、1の(2)の共同取組活動支出額（C）総計を協定の按分方法により配分した金額。計は1の(2)の（C）総計と一致。</t>
    <rPh sb="2" eb="3">
      <t>ラン</t>
    </rPh>
    <rPh sb="11" eb="13">
      <t>キョウドウ</t>
    </rPh>
    <rPh sb="13" eb="15">
      <t>トリクミ</t>
    </rPh>
    <rPh sb="15" eb="17">
      <t>カツドウ</t>
    </rPh>
    <rPh sb="17" eb="20">
      <t>シシュツガク</t>
    </rPh>
    <rPh sb="23" eb="25">
      <t>ソウケイ</t>
    </rPh>
    <rPh sb="26" eb="28">
      <t>キョウテイ</t>
    </rPh>
    <rPh sb="29" eb="31">
      <t>アンブン</t>
    </rPh>
    <rPh sb="31" eb="33">
      <t>ホウホウ</t>
    </rPh>
    <rPh sb="36" eb="38">
      <t>ハイブン</t>
    </rPh>
    <rPh sb="40" eb="42">
      <t>キンガク</t>
    </rPh>
    <rPh sb="43" eb="44">
      <t>ケイ</t>
    </rPh>
    <phoneticPr fontId="29"/>
  </si>
  <si>
    <t>残（積立）額
（(D)＋(B)－(C)）</t>
    <rPh sb="0" eb="1">
      <t>ザン</t>
    </rPh>
    <rPh sb="2" eb="4">
      <t>ツミタテ</t>
    </rPh>
    <rPh sb="5" eb="6">
      <t>ガク</t>
    </rPh>
    <phoneticPr fontId="29"/>
  </si>
  <si>
    <t>４．５期分の積立金と合算で支出をした場合（例：機械の購入等）は、上記支出には６期分の支出のみ記入してください。</t>
    <rPh sb="3" eb="5">
      <t>キブン</t>
    </rPh>
    <rPh sb="6" eb="9">
      <t>ツミタテキン</t>
    </rPh>
    <rPh sb="10" eb="12">
      <t>ガッサン</t>
    </rPh>
    <rPh sb="13" eb="15">
      <t>シシュツ</t>
    </rPh>
    <rPh sb="18" eb="20">
      <t>バアイ</t>
    </rPh>
    <rPh sb="21" eb="22">
      <t>レイ</t>
    </rPh>
    <rPh sb="23" eb="25">
      <t>キカイ</t>
    </rPh>
    <rPh sb="26" eb="28">
      <t>コウニュウ</t>
    </rPh>
    <rPh sb="28" eb="29">
      <t>トウ</t>
    </rPh>
    <rPh sb="32" eb="34">
      <t>ジョウキ</t>
    </rPh>
    <rPh sb="34" eb="36">
      <t>シシュツ</t>
    </rPh>
    <rPh sb="39" eb="41">
      <t>キブン</t>
    </rPh>
    <rPh sb="42" eb="44">
      <t>シシュツ</t>
    </rPh>
    <rPh sb="46" eb="48">
      <t>キニュウ</t>
    </rPh>
    <phoneticPr fontId="29"/>
  </si>
  <si>
    <t>（D）過年残
   (積立)額計</t>
    <rPh sb="3" eb="5">
      <t>カネン</t>
    </rPh>
    <rPh sb="5" eb="6">
      <t>ザン</t>
    </rPh>
    <rPh sb="11" eb="13">
      <t>ツミタテ</t>
    </rPh>
    <rPh sb="14" eb="15">
      <t>ガク</t>
    </rPh>
    <rPh sb="15" eb="16">
      <t>ケイ</t>
    </rPh>
    <phoneticPr fontId="29"/>
  </si>
  <si>
    <t>島根　６郎</t>
    <rPh sb="0" eb="2">
      <t>シマネ</t>
    </rPh>
    <rPh sb="4" eb="5">
      <t>ロウ</t>
    </rPh>
    <phoneticPr fontId="7"/>
  </si>
  <si>
    <t>島根　８郎</t>
    <rPh sb="0" eb="2">
      <t>シマネ</t>
    </rPh>
    <rPh sb="4" eb="5">
      <t>ロウ</t>
    </rPh>
    <phoneticPr fontId="7"/>
  </si>
  <si>
    <t xml:space="preserve"> ⑫ 都市住民との交流促進関係費</t>
    <rPh sb="3" eb="5">
      <t>トシ</t>
    </rPh>
    <rPh sb="5" eb="7">
      <t>ジュウミン</t>
    </rPh>
    <rPh sb="9" eb="11">
      <t>コウリュウ</t>
    </rPh>
    <rPh sb="11" eb="13">
      <t>ソクシン</t>
    </rPh>
    <rPh sb="13" eb="16">
      <t>カンケイヒ</t>
    </rPh>
    <phoneticPr fontId="29"/>
  </si>
  <si>
    <t>島根　９郎</t>
    <rPh sb="0" eb="2">
      <t>シマネ</t>
    </rPh>
    <rPh sb="4" eb="5">
      <t>ロウ</t>
    </rPh>
    <phoneticPr fontId="7"/>
  </si>
  <si>
    <t>　令和　年　中山間地域等直接支払交付金　金銭出納簿（５期以前分）</t>
    <rPh sb="1" eb="3">
      <t>レイワ</t>
    </rPh>
    <rPh sb="4" eb="5">
      <t>ネン</t>
    </rPh>
    <rPh sb="5" eb="6">
      <t>ヘイネン</t>
    </rPh>
    <rPh sb="6" eb="19">
      <t>チュウサンカン</t>
    </rPh>
    <rPh sb="20" eb="22">
      <t>キンセン</t>
    </rPh>
    <rPh sb="22" eb="25">
      <t>スイトウボ</t>
    </rPh>
    <rPh sb="27" eb="28">
      <t>キ</t>
    </rPh>
    <rPh sb="28" eb="30">
      <t>イゼン</t>
    </rPh>
    <rPh sb="30" eb="31">
      <t>ブン</t>
    </rPh>
    <phoneticPr fontId="29"/>
  </si>
  <si>
    <t>島根　１０郎</t>
    <rPh sb="0" eb="2">
      <t>シマネ</t>
    </rPh>
    <rPh sb="5" eb="6">
      <t>ロウ</t>
    </rPh>
    <phoneticPr fontId="7"/>
  </si>
  <si>
    <t>島根　１１郎</t>
    <rPh sb="0" eb="2">
      <t>シマネ</t>
    </rPh>
    <rPh sb="5" eb="6">
      <t>ロウ</t>
    </rPh>
    <phoneticPr fontId="7"/>
  </si>
  <si>
    <t>イベント準備</t>
    <rPh sb="4" eb="6">
      <t>ジュンビ</t>
    </rPh>
    <phoneticPr fontId="7"/>
  </si>
  <si>
    <t xml:space="preserve"> ⑬ その他</t>
    <rPh sb="5" eb="6">
      <t>タ</t>
    </rPh>
    <phoneticPr fontId="29"/>
  </si>
  <si>
    <t>島根県松江市殿町１</t>
    <rPh sb="0" eb="3">
      <t>シマネケン</t>
    </rPh>
    <rPh sb="3" eb="6">
      <t>マツエシ</t>
    </rPh>
    <rPh sb="6" eb="8">
      <t>トノマチ</t>
    </rPh>
    <phoneticPr fontId="7"/>
  </si>
  <si>
    <t>⑯</t>
  </si>
  <si>
    <t>〇〇〇〇</t>
  </si>
  <si>
    <t>印</t>
    <rPh sb="0" eb="1">
      <t>イン</t>
    </rPh>
    <phoneticPr fontId="7"/>
  </si>
  <si>
    <t>役員報酬
(B)</t>
    <rPh sb="2" eb="4">
      <t>ホウシュウ</t>
    </rPh>
    <phoneticPr fontId="29"/>
  </si>
  <si>
    <t>役員報酬、出役賃等の計
(D)</t>
    <rPh sb="0" eb="2">
      <t>ヤクイン</t>
    </rPh>
    <rPh sb="2" eb="4">
      <t>ホウシュウ</t>
    </rPh>
    <rPh sb="5" eb="6">
      <t>シュツ</t>
    </rPh>
    <rPh sb="6" eb="7">
      <t>エキ</t>
    </rPh>
    <rPh sb="7" eb="8">
      <t>チン</t>
    </rPh>
    <rPh sb="8" eb="9">
      <t>トウ</t>
    </rPh>
    <rPh sb="10" eb="11">
      <t>ケイ</t>
    </rPh>
    <phoneticPr fontId="29"/>
  </si>
  <si>
    <t>草刈り機</t>
    <rPh sb="0" eb="2">
      <t>クサカ</t>
    </rPh>
    <rPh sb="3" eb="4">
      <t>キ</t>
    </rPh>
    <phoneticPr fontId="7"/>
  </si>
  <si>
    <t>協定名</t>
  </si>
  <si>
    <t xml:space="preserve"> ⑥ 共同利用機械購入等費</t>
    <rPh sb="3" eb="5">
      <t>キョウドウ</t>
    </rPh>
    <rPh sb="5" eb="7">
      <t>リヨウ</t>
    </rPh>
    <rPh sb="7" eb="9">
      <t>キカイ</t>
    </rPh>
    <rPh sb="9" eb="11">
      <t>コウニュウ</t>
    </rPh>
    <rPh sb="11" eb="12">
      <t>トウ</t>
    </rPh>
    <rPh sb="12" eb="13">
      <t>ヒ</t>
    </rPh>
    <phoneticPr fontId="29"/>
  </si>
  <si>
    <t xml:space="preserve"> ⑧ 多面的機能増進活動費</t>
    <rPh sb="3" eb="5">
      <t>タメン</t>
    </rPh>
    <rPh sb="5" eb="6">
      <t>テキ</t>
    </rPh>
    <rPh sb="6" eb="8">
      <t>キノウ</t>
    </rPh>
    <rPh sb="8" eb="10">
      <t>ゾウシン</t>
    </rPh>
    <rPh sb="10" eb="13">
      <t>カツドウヒ</t>
    </rPh>
    <phoneticPr fontId="29"/>
  </si>
  <si>
    <t>⑮</t>
  </si>
  <si>
    <t>⑰＝⑭＋⑮</t>
  </si>
  <si>
    <t>⑯と同じ</t>
    <rPh sb="2" eb="3">
      <t>オナ</t>
    </rPh>
    <phoneticPr fontId="29"/>
  </si>
  <si>
    <t>共同利用
機械購入等費</t>
    <rPh sb="0" eb="2">
      <t>キョウドウ</t>
    </rPh>
    <rPh sb="2" eb="4">
      <t>リヨウ</t>
    </rPh>
    <rPh sb="5" eb="7">
      <t>キカイ</t>
    </rPh>
    <rPh sb="7" eb="9">
      <t>コウニュウ</t>
    </rPh>
    <rPh sb="9" eb="10">
      <t>トウ</t>
    </rPh>
    <rPh sb="10" eb="11">
      <t>ヒ</t>
    </rPh>
    <phoneticPr fontId="29"/>
  </si>
  <si>
    <t>R7.10</t>
  </si>
  <si>
    <t>多面的機
能増進活
動費</t>
    <rPh sb="0" eb="3">
      <t>タメンテキ</t>
    </rPh>
    <rPh sb="3" eb="4">
      <t>キ</t>
    </rPh>
    <rPh sb="5" eb="6">
      <t>ノウ</t>
    </rPh>
    <rPh sb="6" eb="8">
      <t>ゾウシン</t>
    </rPh>
    <rPh sb="8" eb="9">
      <t>カツ</t>
    </rPh>
    <rPh sb="10" eb="11">
      <t>ドウ</t>
    </rPh>
    <rPh sb="11" eb="12">
      <t>ヒ</t>
    </rPh>
    <phoneticPr fontId="29"/>
  </si>
  <si>
    <t>R15.11</t>
  </si>
  <si>
    <t>作業日</t>
    <rPh sb="0" eb="3">
      <t>サギョウビ</t>
    </rPh>
    <phoneticPr fontId="29"/>
  </si>
  <si>
    <t>金額</t>
  </si>
  <si>
    <t xml:space="preserve"> ③ 道・水路管理費</t>
    <rPh sb="3" eb="4">
      <t>ドウ</t>
    </rPh>
    <rPh sb="5" eb="7">
      <t>スイロ</t>
    </rPh>
    <phoneticPr fontId="29"/>
  </si>
  <si>
    <t xml:space="preserve"> ② 研修会等費</t>
    <rPh sb="3" eb="6">
      <t>ケンシュウカイ</t>
    </rPh>
    <rPh sb="6" eb="7">
      <t>トウ</t>
    </rPh>
    <rPh sb="7" eb="8">
      <t>ヒ</t>
    </rPh>
    <phoneticPr fontId="29"/>
  </si>
  <si>
    <r>
      <t>　</t>
    </r>
    <r>
      <rPr>
        <sz val="28"/>
        <color auto="1"/>
        <rFont val="HGS創英角ﾎﾟｯﾌﾟ体"/>
      </rPr>
      <t>　令和　年　中山間地域等直接支払執行状況調書</t>
    </r>
    <rPh sb="2" eb="4">
      <t>レイワ</t>
    </rPh>
    <phoneticPr fontId="29"/>
  </si>
  <si>
    <t>協    定
参加者名</t>
  </si>
  <si>
    <t>金額 １</t>
  </si>
  <si>
    <t>金額 ５</t>
  </si>
  <si>
    <t>金額 ６</t>
    <rPh sb="0" eb="2">
      <t>キンガク</t>
    </rPh>
    <phoneticPr fontId="29"/>
  </si>
  <si>
    <t>金額 ８</t>
  </si>
  <si>
    <t>処分年月</t>
    <rPh sb="0" eb="2">
      <t>ショブン</t>
    </rPh>
    <rPh sb="2" eb="4">
      <t>ネンゲツ</t>
    </rPh>
    <phoneticPr fontId="7"/>
  </si>
  <si>
    <t>１～１３ 計</t>
    <rPh sb="5" eb="6">
      <t>ケイ</t>
    </rPh>
    <phoneticPr fontId="29"/>
  </si>
  <si>
    <t>⑮の欄は、1の(1)の(B)の額(共同取組活動分)を協定の按分方法により配分した金額。計は1の(1)の(B)と一致。</t>
    <rPh sb="2" eb="3">
      <t>ラン</t>
    </rPh>
    <rPh sb="17" eb="19">
      <t>キョウドウ</t>
    </rPh>
    <rPh sb="19" eb="21">
      <t>トリクミ</t>
    </rPh>
    <rPh sb="21" eb="23">
      <t>カツドウ</t>
    </rPh>
    <rPh sb="23" eb="24">
      <t>ブン</t>
    </rPh>
    <rPh sb="26" eb="28">
      <t>キョウテイ</t>
    </rPh>
    <rPh sb="29" eb="31">
      <t>アンブン</t>
    </rPh>
    <rPh sb="31" eb="33">
      <t>ホウホウ</t>
    </rPh>
    <rPh sb="36" eb="38">
      <t>ハイブン</t>
    </rPh>
    <rPh sb="40" eb="42">
      <t>キンガク</t>
    </rPh>
    <rPh sb="43" eb="44">
      <t>ケイ</t>
    </rPh>
    <rPh sb="55" eb="57">
      <t>イッチ</t>
    </rPh>
    <phoneticPr fontId="29"/>
  </si>
  <si>
    <t>共同利用施設の建設費・補修費等に要した経費</t>
    <rPh sb="0" eb="2">
      <t>キョウドウ</t>
    </rPh>
    <rPh sb="2" eb="4">
      <t>リヨウ</t>
    </rPh>
    <rPh sb="4" eb="6">
      <t>シセツ</t>
    </rPh>
    <rPh sb="7" eb="10">
      <t>ケンセツヒ</t>
    </rPh>
    <rPh sb="11" eb="14">
      <t>ホシュウヒ</t>
    </rPh>
    <rPh sb="14" eb="15">
      <t>トウ</t>
    </rPh>
    <rPh sb="16" eb="17">
      <t>ヨウ</t>
    </rPh>
    <rPh sb="19" eb="21">
      <t>ケイヒ</t>
    </rPh>
    <phoneticPr fontId="29"/>
  </si>
  <si>
    <t>道・水路管理費</t>
    <rPh sb="0" eb="1">
      <t>ドウ</t>
    </rPh>
    <rPh sb="2" eb="4">
      <t>スイロ</t>
    </rPh>
    <rPh sb="4" eb="7">
      <t>カンリヒ</t>
    </rPh>
    <phoneticPr fontId="29"/>
  </si>
  <si>
    <t>協定名：</t>
    <rPh sb="0" eb="2">
      <t>キョウテイ</t>
    </rPh>
    <rPh sb="2" eb="3">
      <t>メイ</t>
    </rPh>
    <phoneticPr fontId="7"/>
  </si>
  <si>
    <t>R8.3</t>
  </si>
  <si>
    <t>ラジコン草刈り機</t>
    <rPh sb="4" eb="6">
      <t>クサカ</t>
    </rPh>
    <rPh sb="7" eb="8">
      <t>キ</t>
    </rPh>
    <phoneticPr fontId="7"/>
  </si>
  <si>
    <t>ⓒ-4　１人当たり２０万円以上（減価償却終了～処分まで）</t>
    <rPh sb="5" eb="6">
      <t>ヒト</t>
    </rPh>
    <rPh sb="6" eb="7">
      <t>ア</t>
    </rPh>
    <rPh sb="11" eb="13">
      <t>マンエン</t>
    </rPh>
    <rPh sb="13" eb="15">
      <t>イジョウ</t>
    </rPh>
    <rPh sb="16" eb="20">
      <t>ゲンカショウキャク</t>
    </rPh>
    <rPh sb="20" eb="22">
      <t>シュウリョウ</t>
    </rPh>
    <rPh sb="23" eb="25">
      <t>ショブン</t>
    </rPh>
    <phoneticPr fontId="62"/>
  </si>
  <si>
    <t>当年必要経費となる減価償却費の合計（ⓒ-3）</t>
    <rPh sb="0" eb="2">
      <t>トウネン</t>
    </rPh>
    <rPh sb="2" eb="4">
      <t>ヒツヨウ</t>
    </rPh>
    <rPh sb="4" eb="6">
      <t>ケイヒ</t>
    </rPh>
    <rPh sb="9" eb="11">
      <t>ゲンカ</t>
    </rPh>
    <rPh sb="11" eb="13">
      <t>ショウキャク</t>
    </rPh>
    <rPh sb="13" eb="14">
      <t>ヒ</t>
    </rPh>
    <rPh sb="15" eb="17">
      <t>ゴウケイ</t>
    </rPh>
    <phoneticPr fontId="62"/>
  </si>
  <si>
    <t>.</t>
  </si>
  <si>
    <t>・減価償却費を均等割する場合は『減価償却資産の計算表（均等割りの場合）』で求めた　一人あたりの額を転記する。</t>
    <rPh sb="16" eb="18">
      <t>ゲンカ</t>
    </rPh>
    <rPh sb="18" eb="20">
      <t>ショウキャク</t>
    </rPh>
    <rPh sb="20" eb="22">
      <t>シサン</t>
    </rPh>
    <rPh sb="23" eb="25">
      <t>ケイサン</t>
    </rPh>
    <rPh sb="25" eb="26">
      <t>ヒョウ</t>
    </rPh>
    <rPh sb="27" eb="30">
      <t>キントウワリ</t>
    </rPh>
    <rPh sb="32" eb="34">
      <t>バアイ</t>
    </rPh>
    <phoneticPr fontId="29"/>
  </si>
  <si>
    <t>R1</t>
  </si>
  <si>
    <t>R8.11</t>
  </si>
  <si>
    <t>５．別途「積立金の口座（６期分）を開設している場合」</t>
    <rPh sb="2" eb="4">
      <t>ベット</t>
    </rPh>
    <rPh sb="5" eb="7">
      <t>ツミタテ</t>
    </rPh>
    <rPh sb="7" eb="8">
      <t>キン</t>
    </rPh>
    <rPh sb="9" eb="11">
      <t>コウザ</t>
    </rPh>
    <rPh sb="13" eb="15">
      <t>キブン</t>
    </rPh>
    <rPh sb="17" eb="19">
      <t>カイセツ</t>
    </rPh>
    <rPh sb="23" eb="25">
      <t>バアイ</t>
    </rPh>
    <phoneticPr fontId="29"/>
  </si>
  <si>
    <t>　　・積立口座（６期分）から支出した場合、収支報告書の支出額は、その支出項目の受入口座と積立口座を合算した額を記入してください。</t>
    <rPh sb="9" eb="11">
      <t>キブン</t>
    </rPh>
    <rPh sb="21" eb="23">
      <t>シュウシ</t>
    </rPh>
    <rPh sb="23" eb="26">
      <t>ホウコクショ</t>
    </rPh>
    <rPh sb="27" eb="29">
      <t>シシュツ</t>
    </rPh>
    <rPh sb="29" eb="30">
      <t>ガク</t>
    </rPh>
    <rPh sb="34" eb="36">
      <t>シシュツ</t>
    </rPh>
    <rPh sb="36" eb="38">
      <t>コウモク</t>
    </rPh>
    <rPh sb="39" eb="41">
      <t>ウケイレ</t>
    </rPh>
    <rPh sb="41" eb="43">
      <t>コウザ</t>
    </rPh>
    <rPh sb="44" eb="46">
      <t>ツミタテ</t>
    </rPh>
    <rPh sb="46" eb="48">
      <t>コウザ</t>
    </rPh>
    <rPh sb="49" eb="51">
      <t>ガッサン</t>
    </rPh>
    <rPh sb="53" eb="54">
      <t>ガク</t>
    </rPh>
    <rPh sb="55" eb="57">
      <t>キニュウ</t>
    </rPh>
    <phoneticPr fontId="29"/>
  </si>
  <si>
    <t>R8.9</t>
  </si>
  <si>
    <t>R14.10</t>
  </si>
  <si>
    <t>　　令和７年　中山間地域等直接支払執行状況調書</t>
    <rPh sb="2" eb="4">
      <t>レイワ</t>
    </rPh>
    <phoneticPr fontId="29"/>
  </si>
  <si>
    <r>
      <t xml:space="preserve">邑南町長  </t>
    </r>
    <r>
      <rPr>
        <b/>
        <sz val="12"/>
        <color auto="1"/>
        <rFont val="ＭＳ Ｐゴシック"/>
      </rPr>
      <t xml:space="preserve"> 大屋　光宏　</t>
    </r>
    <rPh sb="0" eb="4">
      <t>オオナン</t>
    </rPh>
    <rPh sb="7" eb="9">
      <t>オオヤ</t>
    </rPh>
    <rPh sb="10" eb="12">
      <t>ミツヒロ</t>
    </rPh>
    <phoneticPr fontId="29"/>
  </si>
</sst>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41" formatCode="_ * #,##0_ ;_ * \-#,##0_ ;_ * &quot;-&quot;_ ;_ @_ "/>
    <numFmt numFmtId="176" formatCode="[DBNum3]&quot;令和&quot;#,##0&quot;年中山間地域等直接支払交付金収支報告書&quot;"/>
    <numFmt numFmtId="177" formatCode="&quot;計&quot;#,###&quot;人&quot;"/>
    <numFmt numFmtId="178" formatCode="[DBNum3]&quot;令和&quot;#,##0&quot;年中山間地域等直接支払交付金収支証明書&quot;"/>
    <numFmt numFmtId="179" formatCode="#,##0_ "/>
    <numFmt numFmtId="180" formatCode="&quot;&quot;"/>
    <numFmt numFmtId="181" formatCode="[DBNum3]&quot;中山間地域等直接支払交付金に係る所得計算表（令和&quot;#,##0&quot;年&quot;\)"/>
    <numFmt numFmtId="182" formatCode="[DBNum3]&quot;令和&quot;#,##0&quot;年中山間地域等直接支払交付金&quot;"/>
    <numFmt numFmtId="183" formatCode="0_);[Red]\(0\)"/>
    <numFmt numFmtId="184" formatCode="[$-411]ge\.m\.d;@"/>
  </numFmts>
  <fonts count="64">
    <font>
      <sz val="11"/>
      <color theme="1"/>
      <name val="游ゴシック"/>
      <family val="3"/>
      <scheme val="minor"/>
    </font>
    <font>
      <sz val="11"/>
      <color auto="1"/>
      <name val="ＭＳ Ｐゴシック"/>
      <family val="3"/>
    </font>
    <font>
      <sz val="11"/>
      <color theme="1"/>
      <name val="游ゴシック"/>
      <family val="3"/>
      <scheme val="minor"/>
    </font>
    <font>
      <sz val="12"/>
      <color auto="1"/>
      <name val="ＭＳ 明朝"/>
      <family val="1"/>
    </font>
    <font>
      <sz val="11"/>
      <color indexed="8"/>
      <name val="游ゴシック"/>
      <family val="3"/>
      <scheme val="minor"/>
    </font>
    <font>
      <sz val="11"/>
      <color auto="1"/>
      <name val="ＭＳ 明朝"/>
      <family val="1"/>
    </font>
    <font>
      <sz val="10"/>
      <color theme="1"/>
      <name val="游ゴシック"/>
      <family val="3"/>
      <scheme val="minor"/>
    </font>
    <font>
      <sz val="6"/>
      <color auto="1"/>
      <name val="游ゴシック"/>
      <family val="3"/>
    </font>
    <font>
      <sz val="10"/>
      <color auto="1"/>
      <name val="ＭＳ Ｐゴシック"/>
      <family val="3"/>
    </font>
    <font>
      <b/>
      <sz val="14"/>
      <color auto="1"/>
      <name val="ＭＳ ゴシック"/>
      <family val="3"/>
    </font>
    <font>
      <sz val="12"/>
      <color auto="1"/>
      <name val="ＭＳ Ｐゴシック"/>
      <family val="3"/>
    </font>
    <font>
      <sz val="11"/>
      <color indexed="8"/>
      <name val="ＭＳ Ｐゴシック"/>
      <family val="3"/>
    </font>
    <font>
      <sz val="9"/>
      <color auto="1"/>
      <name val="ＭＳ 明朝"/>
      <family val="1"/>
    </font>
    <font>
      <sz val="9"/>
      <color auto="1"/>
      <name val="ＭＳ Ｐゴシック"/>
      <family val="3"/>
    </font>
    <font>
      <sz val="8"/>
      <color auto="1"/>
      <name val="ＭＳ 明朝"/>
      <family val="1"/>
    </font>
    <font>
      <sz val="10"/>
      <color auto="1"/>
      <name val="ＭＳ 明朝"/>
      <family val="1"/>
    </font>
    <font>
      <sz val="11"/>
      <color rgb="FFFF0000"/>
      <name val="ＭＳ Ｐゴシック"/>
      <family val="3"/>
    </font>
    <font>
      <sz val="14"/>
      <color auto="1"/>
      <name val="HGS創英角ｺﾞｼｯｸUB"/>
      <family val="3"/>
    </font>
    <font>
      <sz val="28"/>
      <color auto="1"/>
      <name val="ＭＳ ゴシック"/>
      <family val="3"/>
    </font>
    <font>
      <sz val="16"/>
      <color auto="1"/>
      <name val="ＭＳ ゴシック"/>
      <family val="3"/>
    </font>
    <font>
      <sz val="20"/>
      <color auto="1"/>
      <name val="ＭＳ ゴシック"/>
      <family val="3"/>
    </font>
    <font>
      <sz val="10.5"/>
      <color auto="1"/>
      <name val="Century"/>
      <family val="1"/>
    </font>
    <font>
      <sz val="12"/>
      <color auto="1"/>
      <name val="HG創英角ｺﾞｼｯｸUB"/>
      <family val="3"/>
    </font>
    <font>
      <sz val="10.5"/>
      <color auto="1"/>
      <name val="ＭＳ ゴシック"/>
      <family val="3"/>
    </font>
    <font>
      <sz val="16"/>
      <color auto="1"/>
      <name val="ＭＳ Ｐゴシック"/>
      <family val="3"/>
    </font>
    <font>
      <sz val="10.5"/>
      <color auto="1"/>
      <name val="ＭＳ 明朝"/>
      <family val="1"/>
    </font>
    <font>
      <sz val="22"/>
      <color auto="1"/>
      <name val="ＭＳ ゴシック"/>
      <family val="3"/>
    </font>
    <font>
      <sz val="11"/>
      <color auto="1"/>
      <name val="ＭＳ ゴシック"/>
      <family val="3"/>
    </font>
    <font>
      <sz val="22"/>
      <color auto="1"/>
      <name val="HGS創英角ｺﾞｼｯｸUB"/>
      <family val="3"/>
    </font>
    <font>
      <sz val="6"/>
      <color auto="1"/>
      <name val="ＭＳ Ｐゴシック"/>
      <family val="3"/>
    </font>
    <font>
      <b/>
      <sz val="18"/>
      <color auto="1"/>
      <name val="ＭＳ ゴシック"/>
      <family val="3"/>
    </font>
    <font>
      <b/>
      <sz val="20"/>
      <color auto="1"/>
      <name val="ＭＳ Ｐゴシック"/>
      <family val="3"/>
    </font>
    <font>
      <b/>
      <sz val="16"/>
      <color auto="1"/>
      <name val="ＭＳ Ｐゴシック"/>
      <family val="3"/>
    </font>
    <font>
      <b/>
      <sz val="16"/>
      <color theme="1"/>
      <name val="ＭＳ Ｐゴシック"/>
      <family val="3"/>
    </font>
    <font>
      <sz val="11"/>
      <color theme="1"/>
      <name val="ＭＳ Ｐゴシック"/>
      <family val="3"/>
    </font>
    <font>
      <b/>
      <sz val="14"/>
      <color auto="1"/>
      <name val="ＭＳ Ｐゴシック"/>
      <family val="3"/>
    </font>
    <font>
      <sz val="11"/>
      <color auto="1"/>
      <name val="游ゴシック"/>
      <family val="3"/>
      <scheme val="minor"/>
    </font>
    <font>
      <sz val="14"/>
      <color auto="1"/>
      <name val="ＭＳ Ｐゴシック"/>
      <family val="3"/>
    </font>
    <font>
      <sz val="18"/>
      <color auto="1"/>
      <name val="ＭＳ Ｐゴシック"/>
      <family val="3"/>
    </font>
    <font>
      <sz val="12"/>
      <color auto="1"/>
      <name val="ＭＳ ゴシック"/>
      <family val="3"/>
    </font>
    <font>
      <b/>
      <sz val="18"/>
      <color indexed="10"/>
      <name val="ＭＳ Ｐゴシック"/>
      <family val="3"/>
    </font>
    <font>
      <b/>
      <sz val="12"/>
      <color auto="1"/>
      <name val="ＭＳ Ｐゴシック"/>
      <family val="3"/>
    </font>
    <font>
      <sz val="16"/>
      <color theme="1"/>
      <name val="ＭＳ Ｐゴシック"/>
      <family val="3"/>
    </font>
    <font>
      <sz val="12"/>
      <color theme="1"/>
      <name val="ＭＳ Ｐゴシック"/>
      <family val="3"/>
    </font>
    <font>
      <b/>
      <sz val="18"/>
      <color theme="1"/>
      <name val="ＭＳ ゴシック"/>
      <family val="3"/>
    </font>
    <font>
      <sz val="11"/>
      <color theme="1"/>
      <name val="ＭＳ ゴシック"/>
      <family val="3"/>
    </font>
    <font>
      <b/>
      <sz val="20"/>
      <color theme="1"/>
      <name val="ＭＳ Ｐゴシック"/>
      <family val="3"/>
    </font>
    <font>
      <b/>
      <sz val="14"/>
      <color theme="1"/>
      <name val="ＭＳ Ｐゴシック"/>
      <family val="3"/>
    </font>
    <font>
      <sz val="14"/>
      <color theme="1"/>
      <name val="ＭＳ Ｐゴシック"/>
      <family val="3"/>
    </font>
    <font>
      <sz val="18"/>
      <color theme="1"/>
      <name val="ＭＳ Ｐゴシック"/>
      <family val="3"/>
    </font>
    <font>
      <sz val="12"/>
      <color theme="1"/>
      <name val="ＭＳ ゴシック"/>
      <family val="3"/>
    </font>
    <font>
      <b/>
      <sz val="18"/>
      <color theme="1"/>
      <name val="ＭＳ Ｐゴシック"/>
      <family val="3"/>
    </font>
    <font>
      <b/>
      <sz val="12"/>
      <color theme="1"/>
      <name val="ＭＳ Ｐゴシック"/>
      <family val="3"/>
    </font>
    <font>
      <sz val="14"/>
      <color auto="1"/>
      <name val="HGS創英角ﾎﾟｯﾌﾟ体"/>
      <family val="3"/>
    </font>
    <font>
      <sz val="8"/>
      <color auto="1"/>
      <name val="ＭＳ Ｐゴシック"/>
      <family val="3"/>
    </font>
    <font>
      <sz val="14"/>
      <color auto="1"/>
      <name val="ＭＳ ゴシック"/>
      <family val="3"/>
    </font>
    <font>
      <sz val="26"/>
      <color auto="1"/>
      <name val="ＭＳ ゴシック"/>
      <family val="3"/>
    </font>
    <font>
      <sz val="18"/>
      <color auto="1"/>
      <name val="ＭＳ ゴシック"/>
      <family val="3"/>
    </font>
    <font>
      <sz val="10"/>
      <color auto="1"/>
      <name val="ＭＳ ゴシック"/>
      <family val="3"/>
    </font>
    <font>
      <sz val="14"/>
      <color rgb="FF000000"/>
      <name val="ＭＳ Ｐゴシック"/>
      <family val="3"/>
    </font>
    <font>
      <sz val="14"/>
      <color rgb="FFFF0000"/>
      <name val="ＭＳ Ｐゴシック"/>
      <family val="3"/>
    </font>
    <font>
      <b/>
      <sz val="12"/>
      <color theme="1"/>
      <name val="ＭＳ ゴシック"/>
      <family val="3"/>
    </font>
    <font>
      <sz val="6"/>
      <color auto="1"/>
      <name val="ＭＳ 明朝"/>
      <family val="1"/>
    </font>
    <font>
      <sz val="11"/>
      <color rgb="FFFF0000"/>
      <name val="ＭＳ Ｐゴシック"/>
      <family val="3"/>
    </font>
  </fonts>
  <fills count="6">
    <fill>
      <patternFill patternType="none"/>
    </fill>
    <fill>
      <patternFill patternType="gray125"/>
    </fill>
    <fill>
      <patternFill patternType="solid">
        <fgColor theme="8" tint="0.8"/>
        <bgColor indexed="64"/>
      </patternFill>
    </fill>
    <fill>
      <patternFill patternType="solid">
        <fgColor theme="0"/>
        <bgColor indexed="64"/>
      </patternFill>
    </fill>
    <fill>
      <patternFill patternType="solid">
        <fgColor indexed="9"/>
        <bgColor indexed="64"/>
      </patternFill>
    </fill>
    <fill>
      <patternFill patternType="solid">
        <fgColor indexed="65"/>
        <bgColor indexed="64"/>
      </patternFill>
    </fill>
  </fills>
  <borders count="127">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right/>
      <top style="mediumDashDot">
        <color auto="1"/>
      </top>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style="medium">
        <color indexed="64"/>
      </top>
      <bottom style="hair">
        <color indexed="64"/>
      </bottom>
      <diagonal/>
    </border>
    <border>
      <left style="thin">
        <color indexed="64"/>
      </left>
      <right/>
      <top style="thin">
        <color indexed="64"/>
      </top>
      <bottom style="hair">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style="hair">
        <color indexed="64"/>
      </bottom>
      <diagonal/>
    </border>
    <border>
      <left/>
      <right style="thin">
        <color indexed="64"/>
      </right>
      <top/>
      <bottom style="thin">
        <color indexed="64"/>
      </bottom>
      <diagonal/>
    </border>
    <border>
      <left style="thin">
        <color auto="1"/>
      </left>
      <right style="thin">
        <color auto="1"/>
      </right>
      <top style="thin">
        <color auto="1"/>
      </top>
      <bottom style="hair">
        <color auto="1"/>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style="thin">
        <color indexed="64"/>
      </right>
      <top style="double">
        <color indexed="64"/>
      </top>
      <bottom style="thin">
        <color indexed="64"/>
      </bottom>
      <diagonal/>
    </border>
    <border diagonalUp="1">
      <left style="thin">
        <color indexed="64"/>
      </left>
      <right/>
      <top style="thin">
        <color indexed="64"/>
      </top>
      <bottom style="double">
        <color indexed="64"/>
      </bottom>
      <diagonal style="thin">
        <color indexed="64"/>
      </diagonal>
    </border>
    <border>
      <left style="thin">
        <color indexed="64"/>
      </left>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left/>
      <right style="thin">
        <color indexed="64"/>
      </right>
      <top style="thin">
        <color indexed="64"/>
      </top>
      <bottom style="double">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bottom style="dotted">
        <color indexed="64"/>
      </bottom>
      <diagonal/>
    </border>
    <border>
      <left/>
      <right/>
      <top style="thin">
        <color indexed="64"/>
      </top>
      <bottom/>
      <diagonal/>
    </border>
    <border>
      <left/>
      <right style="thin">
        <color indexed="64"/>
      </right>
      <top style="thin">
        <color indexed="64"/>
      </top>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top style="hair">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top style="hair">
        <color indexed="64"/>
      </top>
      <bottom style="hair">
        <color indexed="64"/>
      </bottom>
      <diagonal/>
    </border>
    <border>
      <left/>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medium">
        <color indexed="64"/>
      </bottom>
      <diagonal/>
    </border>
    <border>
      <left/>
      <right style="medium">
        <color indexed="64"/>
      </right>
      <top style="hair">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right style="medium">
        <color indexed="64"/>
      </right>
      <top style="hair">
        <color indexed="64"/>
      </top>
      <bottom/>
      <diagonal/>
    </border>
    <border>
      <left/>
      <right/>
      <top style="hair">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s>
  <cellStyleXfs count="18">
    <xf numFmtId="0" fontId="0" fillId="0" borderId="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3" fillId="0" borderId="0" applyFont="0" applyFill="0" applyBorder="0" applyAlignment="0" applyProtection="0">
      <alignment vertical="center"/>
    </xf>
    <xf numFmtId="38" fontId="4" fillId="0" borderId="0" applyFill="0" applyBorder="0" applyAlignment="0" applyProtection="0">
      <alignment vertical="center"/>
    </xf>
    <xf numFmtId="0" fontId="1" fillId="0" borderId="0"/>
    <xf numFmtId="0" fontId="1" fillId="0" borderId="0">
      <alignment vertical="center"/>
    </xf>
    <xf numFmtId="0" fontId="5" fillId="0" borderId="0">
      <alignment vertical="center"/>
    </xf>
    <xf numFmtId="0" fontId="2" fillId="0" borderId="0"/>
    <xf numFmtId="0" fontId="3" fillId="0" borderId="0">
      <alignment vertical="center"/>
    </xf>
    <xf numFmtId="0" fontId="1" fillId="0" borderId="0"/>
    <xf numFmtId="0" fontId="4" fillId="0" borderId="0">
      <alignment vertical="center"/>
    </xf>
    <xf numFmtId="0" fontId="1" fillId="0" borderId="0">
      <alignment vertical="center"/>
    </xf>
    <xf numFmtId="0" fontId="6" fillId="0" borderId="0">
      <alignment vertical="center"/>
    </xf>
    <xf numFmtId="0" fontId="1" fillId="0" borderId="0"/>
    <xf numFmtId="0" fontId="1" fillId="0" borderId="0"/>
    <xf numFmtId="0" fontId="1" fillId="0" borderId="0">
      <alignment vertical="center"/>
    </xf>
    <xf numFmtId="38" fontId="2" fillId="0" borderId="0" applyFont="0" applyFill="0" applyBorder="0" applyAlignment="0" applyProtection="0">
      <alignment vertical="center"/>
    </xf>
  </cellStyleXfs>
  <cellXfs count="687">
    <xf numFmtId="0" fontId="0" fillId="0" borderId="0" xfId="0">
      <alignment vertical="center"/>
    </xf>
    <xf numFmtId="0" fontId="1" fillId="0" borderId="0" xfId="5"/>
    <xf numFmtId="0" fontId="8" fillId="0" borderId="1" xfId="5" applyFont="1" applyBorder="1" applyAlignment="1">
      <alignment horizontal="left"/>
    </xf>
    <xf numFmtId="58" fontId="1" fillId="0" borderId="0" xfId="5" applyNumberFormat="1" applyAlignment="1">
      <alignment horizontal="left" vertical="center"/>
    </xf>
    <xf numFmtId="0" fontId="1" fillId="2" borderId="0" xfId="5" applyFont="1" applyFill="1" applyAlignment="1">
      <alignment horizontal="center" vertical="center"/>
    </xf>
    <xf numFmtId="0" fontId="1" fillId="0" borderId="0" xfId="5" applyAlignment="1">
      <alignment horizontal="left" vertical="center"/>
    </xf>
    <xf numFmtId="176" fontId="9" fillId="2" borderId="0" xfId="5" applyNumberFormat="1" applyFont="1" applyFill="1" applyAlignment="1">
      <alignment horizontal="center" vertical="center"/>
    </xf>
    <xf numFmtId="0" fontId="1" fillId="0" borderId="0" xfId="5" applyAlignment="1">
      <alignment vertical="center"/>
    </xf>
    <xf numFmtId="0" fontId="1" fillId="0" borderId="2" xfId="5" applyBorder="1" applyAlignment="1">
      <alignment horizontal="center"/>
    </xf>
    <xf numFmtId="0" fontId="5" fillId="0" borderId="3" xfId="5" applyFont="1" applyBorder="1" applyAlignment="1">
      <alignment horizontal="left"/>
    </xf>
    <xf numFmtId="0" fontId="5" fillId="0" borderId="4" xfId="5" applyFont="1" applyBorder="1" applyAlignment="1">
      <alignment horizontal="left"/>
    </xf>
    <xf numFmtId="0" fontId="5" fillId="0" borderId="4" xfId="5" applyFont="1" applyBorder="1" applyAlignment="1">
      <alignment horizontal="center"/>
    </xf>
    <xf numFmtId="0" fontId="1" fillId="0" borderId="0" xfId="5" applyAlignment="1">
      <alignment horizontal="left"/>
    </xf>
    <xf numFmtId="0" fontId="1" fillId="0" borderId="5" xfId="5" applyBorder="1" applyAlignment="1"/>
    <xf numFmtId="0" fontId="5" fillId="0" borderId="6" xfId="5" applyFont="1" applyBorder="1" applyAlignment="1">
      <alignment horizontal="left"/>
    </xf>
    <xf numFmtId="0" fontId="5" fillId="0" borderId="7" xfId="5" applyFont="1" applyBorder="1" applyAlignment="1">
      <alignment horizontal="left"/>
    </xf>
    <xf numFmtId="0" fontId="5" fillId="0" borderId="8" xfId="5" applyFont="1" applyBorder="1" applyAlignment="1">
      <alignment horizontal="center"/>
    </xf>
    <xf numFmtId="0" fontId="5" fillId="0" borderId="8" xfId="5" applyFont="1" applyBorder="1" applyAlignment="1">
      <alignment horizontal="center" wrapText="1"/>
    </xf>
    <xf numFmtId="0" fontId="5" fillId="0" borderId="0" xfId="5" applyFont="1" applyAlignment="1">
      <alignment horizontal="center"/>
    </xf>
    <xf numFmtId="0" fontId="1" fillId="0" borderId="5" xfId="5" applyBorder="1" applyAlignment="1">
      <alignment horizontal="left" vertical="center"/>
    </xf>
    <xf numFmtId="0" fontId="1" fillId="0" borderId="9" xfId="5" applyBorder="1" applyAlignment="1">
      <alignment horizontal="center" vertical="center"/>
    </xf>
    <xf numFmtId="0" fontId="1" fillId="0" borderId="10" xfId="5" applyBorder="1" applyAlignment="1">
      <alignment horizontal="center" vertical="center"/>
    </xf>
    <xf numFmtId="0" fontId="1" fillId="0" borderId="11" xfId="5" applyBorder="1" applyAlignment="1">
      <alignment horizontal="center"/>
    </xf>
    <xf numFmtId="0" fontId="1" fillId="2" borderId="3" xfId="5" applyFill="1" applyBorder="1" applyAlignment="1" applyProtection="1">
      <alignment horizontal="center"/>
      <protection locked="0"/>
    </xf>
    <xf numFmtId="0" fontId="1" fillId="2" borderId="6" xfId="5" applyFill="1" applyBorder="1" applyAlignment="1" applyProtection="1">
      <alignment horizontal="center"/>
      <protection locked="0"/>
    </xf>
    <xf numFmtId="177" fontId="5" fillId="0" borderId="8" xfId="5" applyNumberFormat="1" applyFont="1" applyBorder="1" applyAlignment="1">
      <alignment horizontal="center" vertical="center"/>
    </xf>
    <xf numFmtId="177" fontId="5" fillId="0" borderId="12" xfId="5" applyNumberFormat="1" applyFont="1" applyBorder="1" applyAlignment="1">
      <alignment horizontal="center" vertical="center"/>
    </xf>
    <xf numFmtId="0" fontId="10" fillId="3" borderId="13" xfId="5" applyFont="1" applyFill="1" applyBorder="1" applyAlignment="1">
      <alignment horizontal="center" vertical="center"/>
    </xf>
    <xf numFmtId="178" fontId="11" fillId="4" borderId="0" xfId="5" applyNumberFormat="1" applyFont="1" applyFill="1" applyAlignment="1">
      <alignment horizontal="center" vertical="center"/>
    </xf>
    <xf numFmtId="0" fontId="11" fillId="4" borderId="0" xfId="5" applyFont="1" applyFill="1" applyAlignment="1">
      <alignment horizontal="center" vertical="center"/>
    </xf>
    <xf numFmtId="0" fontId="11" fillId="4" borderId="0" xfId="5" applyFont="1" applyFill="1" applyAlignment="1">
      <alignment horizontal="left" vertical="center" wrapText="1"/>
    </xf>
    <xf numFmtId="0" fontId="11" fillId="4" borderId="0" xfId="5" applyFont="1" applyFill="1" applyAlignment="1">
      <alignment vertical="center"/>
    </xf>
    <xf numFmtId="0" fontId="11" fillId="4" borderId="0" xfId="5" quotePrefix="1" applyFont="1" applyFill="1" applyAlignment="1">
      <alignment vertical="center"/>
    </xf>
    <xf numFmtId="177" fontId="5" fillId="0" borderId="0" xfId="5" applyNumberFormat="1" applyFont="1" applyAlignment="1">
      <alignment horizontal="center" vertical="center"/>
    </xf>
    <xf numFmtId="0" fontId="12" fillId="0" borderId="0" xfId="5" applyFont="1" applyAlignment="1">
      <alignment vertical="center"/>
    </xf>
    <xf numFmtId="0" fontId="12" fillId="0" borderId="0" xfId="5" applyFont="1"/>
    <xf numFmtId="0" fontId="5" fillId="0" borderId="0" xfId="5" applyFont="1" applyAlignment="1">
      <alignment vertical="center"/>
    </xf>
    <xf numFmtId="58" fontId="1" fillId="0" borderId="0" xfId="5" applyNumberFormat="1" applyAlignment="1">
      <alignment horizontal="right" vertical="center"/>
    </xf>
    <xf numFmtId="0" fontId="8" fillId="0" borderId="0" xfId="5" applyFont="1" applyAlignment="1">
      <alignment horizontal="left" vertical="center"/>
    </xf>
    <xf numFmtId="0" fontId="1" fillId="0" borderId="14" xfId="5" applyBorder="1" applyAlignment="1">
      <alignment horizontal="center"/>
    </xf>
    <xf numFmtId="0" fontId="5" fillId="0" borderId="15" xfId="5" applyFont="1" applyBorder="1" applyAlignment="1">
      <alignment horizontal="left"/>
    </xf>
    <xf numFmtId="0" fontId="5" fillId="0" borderId="16" xfId="5" applyFont="1" applyBorder="1" applyAlignment="1">
      <alignment horizontal="left"/>
    </xf>
    <xf numFmtId="0" fontId="5" fillId="0" borderId="16" xfId="5" applyFont="1" applyBorder="1" applyAlignment="1">
      <alignment horizontal="center"/>
    </xf>
    <xf numFmtId="0" fontId="5" fillId="0" borderId="17" xfId="5" applyFont="1" applyBorder="1" applyAlignment="1">
      <alignment horizontal="left"/>
    </xf>
    <xf numFmtId="0" fontId="5" fillId="0" borderId="18" xfId="5" applyFont="1" applyBorder="1" applyAlignment="1">
      <alignment horizontal="left"/>
    </xf>
    <xf numFmtId="0" fontId="5" fillId="0" borderId="19" xfId="5" applyFont="1" applyBorder="1" applyAlignment="1">
      <alignment horizontal="center"/>
    </xf>
    <xf numFmtId="0" fontId="1" fillId="0" borderId="20" xfId="5" applyBorder="1" applyAlignment="1">
      <alignment horizontal="center" vertical="center"/>
    </xf>
    <xf numFmtId="0" fontId="1" fillId="0" borderId="21" xfId="5" applyBorder="1" applyAlignment="1">
      <alignment horizontal="center" vertical="center"/>
    </xf>
    <xf numFmtId="0" fontId="8" fillId="0" borderId="22" xfId="5" applyFont="1" applyBorder="1" applyAlignment="1">
      <alignment horizontal="left"/>
    </xf>
    <xf numFmtId="38" fontId="13" fillId="2" borderId="23" xfId="1" applyFont="1" applyFill="1" applyBorder="1" applyAlignment="1" applyProtection="1">
      <alignment horizontal="right"/>
      <protection locked="0"/>
    </xf>
    <xf numFmtId="38" fontId="13" fillId="2" borderId="24" xfId="1" applyFont="1" applyFill="1" applyBorder="1" applyAlignment="1" applyProtection="1">
      <alignment horizontal="right"/>
      <protection locked="0"/>
    </xf>
    <xf numFmtId="38" fontId="5" fillId="0" borderId="25" xfId="5" applyNumberFormat="1" applyFont="1" applyBorder="1" applyAlignment="1">
      <alignment horizontal="right" vertical="center"/>
    </xf>
    <xf numFmtId="38" fontId="5" fillId="0" borderId="12" xfId="5" applyNumberFormat="1" applyFont="1" applyBorder="1" applyAlignment="1">
      <alignment horizontal="right" vertical="center"/>
    </xf>
    <xf numFmtId="0" fontId="10" fillId="3" borderId="13" xfId="5" applyFont="1" applyFill="1" applyBorder="1" applyAlignment="1">
      <alignment vertical="center"/>
    </xf>
    <xf numFmtId="38" fontId="5" fillId="0" borderId="0" xfId="5" applyNumberFormat="1" applyFont="1" applyAlignment="1">
      <alignment horizontal="right" vertical="center"/>
    </xf>
    <xf numFmtId="0" fontId="1" fillId="0" borderId="0" xfId="5" applyAlignment="1">
      <alignment horizontal="center"/>
    </xf>
    <xf numFmtId="0" fontId="8" fillId="0" borderId="0" xfId="5" applyFont="1" applyAlignment="1">
      <alignment horizontal="right" vertical="center" indent="1"/>
    </xf>
    <xf numFmtId="0" fontId="1" fillId="0" borderId="25" xfId="5" applyBorder="1" applyAlignment="1">
      <alignment horizontal="center"/>
    </xf>
    <xf numFmtId="3" fontId="5" fillId="2" borderId="15" xfId="5" applyNumberFormat="1" applyFont="1" applyFill="1" applyBorder="1" applyAlignment="1" applyProtection="1">
      <alignment horizontal="right"/>
      <protection locked="0"/>
    </xf>
    <xf numFmtId="3" fontId="5" fillId="2" borderId="16" xfId="5" applyNumberFormat="1" applyFont="1" applyFill="1" applyBorder="1" applyAlignment="1" applyProtection="1">
      <alignment horizontal="right"/>
      <protection locked="0"/>
    </xf>
    <xf numFmtId="3" fontId="5" fillId="0" borderId="16" xfId="5" applyNumberFormat="1" applyFont="1" applyBorder="1" applyAlignment="1" applyProtection="1">
      <alignment horizontal="right"/>
      <protection locked="0"/>
    </xf>
    <xf numFmtId="0" fontId="1" fillId="0" borderId="5" xfId="5" applyBorder="1"/>
    <xf numFmtId="3" fontId="5" fillId="2" borderId="20" xfId="5" applyNumberFormat="1" applyFont="1" applyFill="1" applyBorder="1" applyAlignment="1" applyProtection="1">
      <alignment horizontal="right"/>
      <protection locked="0"/>
    </xf>
    <xf numFmtId="3" fontId="5" fillId="2" borderId="24" xfId="5" applyNumberFormat="1" applyFont="1" applyFill="1" applyBorder="1" applyAlignment="1" applyProtection="1">
      <alignment horizontal="right"/>
      <protection locked="0"/>
    </xf>
    <xf numFmtId="3" fontId="5" fillId="2" borderId="21" xfId="5" applyNumberFormat="1" applyFont="1" applyFill="1" applyBorder="1" applyAlignment="1" applyProtection="1">
      <alignment horizontal="right"/>
      <protection locked="0"/>
    </xf>
    <xf numFmtId="38" fontId="5" fillId="0" borderId="19" xfId="1" applyFont="1" applyFill="1" applyBorder="1" applyAlignment="1" applyProtection="1">
      <alignment horizontal="right"/>
      <protection locked="0"/>
    </xf>
    <xf numFmtId="3" fontId="5" fillId="0" borderId="25" xfId="5" applyNumberFormat="1" applyFont="1" applyBorder="1" applyAlignment="1">
      <alignment horizontal="right"/>
    </xf>
    <xf numFmtId="3" fontId="5" fillId="0" borderId="0" xfId="5" applyNumberFormat="1" applyFont="1" applyAlignment="1">
      <alignment horizontal="right"/>
    </xf>
    <xf numFmtId="0" fontId="1" fillId="0" borderId="16" xfId="5" applyBorder="1" applyAlignment="1">
      <alignment horizontal="center" vertical="center"/>
    </xf>
    <xf numFmtId="0" fontId="1" fillId="0" borderId="22" xfId="5" applyBorder="1"/>
    <xf numFmtId="38" fontId="13" fillId="2" borderId="15" xfId="1" applyFont="1" applyFill="1" applyBorder="1" applyAlignment="1" applyProtection="1">
      <alignment horizontal="right"/>
      <protection locked="0"/>
    </xf>
    <xf numFmtId="38" fontId="13" fillId="2" borderId="17" xfId="1" applyFont="1" applyFill="1" applyBorder="1" applyAlignment="1" applyProtection="1">
      <alignment horizontal="right"/>
      <protection locked="0"/>
    </xf>
    <xf numFmtId="0" fontId="8" fillId="0" borderId="0" xfId="5" applyFont="1" applyAlignment="1">
      <alignment horizontal="right" vertical="center" indent="1" shrinkToFit="1"/>
    </xf>
    <xf numFmtId="0" fontId="1" fillId="0" borderId="26" xfId="5" applyBorder="1" applyAlignment="1">
      <alignment horizontal="center"/>
    </xf>
    <xf numFmtId="0" fontId="5" fillId="2" borderId="23" xfId="5" applyFont="1" applyFill="1" applyBorder="1" applyAlignment="1" applyProtection="1">
      <alignment horizontal="right"/>
      <protection locked="0"/>
    </xf>
    <xf numFmtId="0" fontId="5" fillId="2" borderId="21" xfId="5" applyFont="1" applyFill="1" applyBorder="1" applyAlignment="1" applyProtection="1">
      <alignment horizontal="right"/>
      <protection locked="0"/>
    </xf>
    <xf numFmtId="0" fontId="5" fillId="0" borderId="21" xfId="5" applyFont="1" applyBorder="1" applyAlignment="1" applyProtection="1">
      <alignment horizontal="right"/>
      <protection locked="0"/>
    </xf>
    <xf numFmtId="3" fontId="5" fillId="2" borderId="27" xfId="5" applyNumberFormat="1" applyFont="1" applyFill="1" applyBorder="1" applyAlignment="1" applyProtection="1">
      <alignment horizontal="right"/>
      <protection locked="0"/>
    </xf>
    <xf numFmtId="3" fontId="5" fillId="2" borderId="28" xfId="5" applyNumberFormat="1" applyFont="1" applyFill="1" applyBorder="1" applyAlignment="1" applyProtection="1">
      <alignment horizontal="right"/>
      <protection locked="0"/>
    </xf>
    <xf numFmtId="3" fontId="5" fillId="2" borderId="29" xfId="5" applyNumberFormat="1" applyFont="1" applyFill="1" applyBorder="1" applyAlignment="1" applyProtection="1">
      <alignment horizontal="right"/>
      <protection locked="0"/>
    </xf>
    <xf numFmtId="3" fontId="5" fillId="2" borderId="18" xfId="5" applyNumberFormat="1" applyFont="1" applyFill="1" applyBorder="1" applyAlignment="1" applyProtection="1">
      <alignment horizontal="right"/>
      <protection locked="0"/>
    </xf>
    <xf numFmtId="38" fontId="5" fillId="0" borderId="25" xfId="1" applyFont="1" applyFill="1" applyBorder="1" applyAlignment="1" applyProtection="1">
      <alignment horizontal="right"/>
      <protection locked="0"/>
    </xf>
    <xf numFmtId="3" fontId="5" fillId="0" borderId="14" xfId="5" applyNumberFormat="1" applyFont="1" applyBorder="1" applyAlignment="1">
      <alignment horizontal="right"/>
    </xf>
    <xf numFmtId="0" fontId="5" fillId="0" borderId="0" xfId="5" applyFont="1" applyAlignment="1">
      <alignment horizontal="right"/>
    </xf>
    <xf numFmtId="0" fontId="1" fillId="0" borderId="27" xfId="5" applyBorder="1" applyAlignment="1">
      <alignment horizontal="center" vertical="center"/>
    </xf>
    <xf numFmtId="0" fontId="8" fillId="0" borderId="20" xfId="5" applyFont="1" applyBorder="1" applyAlignment="1">
      <alignment horizontal="left"/>
    </xf>
    <xf numFmtId="58" fontId="1" fillId="2" borderId="0" xfId="5" applyNumberFormat="1" applyFill="1" applyAlignment="1" applyProtection="1">
      <alignment horizontal="right" vertical="center"/>
      <protection locked="0"/>
    </xf>
    <xf numFmtId="0" fontId="1" fillId="2" borderId="0" xfId="5" applyFont="1" applyFill="1" applyAlignment="1" applyProtection="1">
      <alignment horizontal="left" vertical="center" shrinkToFit="1"/>
      <protection locked="0"/>
    </xf>
    <xf numFmtId="0" fontId="14" fillId="0" borderId="15" xfId="5" applyFont="1" applyBorder="1" applyAlignment="1">
      <alignment horizontal="left" wrapText="1" shrinkToFit="1"/>
    </xf>
    <xf numFmtId="0" fontId="14" fillId="0" borderId="16" xfId="5" applyFont="1" applyBorder="1" applyAlignment="1">
      <alignment horizontal="left" wrapText="1" shrinkToFit="1"/>
    </xf>
    <xf numFmtId="0" fontId="14" fillId="0" borderId="16" xfId="5" applyFont="1" applyBorder="1" applyAlignment="1">
      <alignment horizontal="left" wrapText="1"/>
    </xf>
    <xf numFmtId="0" fontId="1" fillId="0" borderId="25" xfId="5" applyBorder="1" applyAlignment="1">
      <alignment horizontal="left"/>
    </xf>
    <xf numFmtId="0" fontId="14" fillId="0" borderId="20" xfId="5" applyFont="1" applyBorder="1" applyAlignment="1" applyProtection="1">
      <alignment horizontal="left" wrapText="1"/>
      <protection locked="0"/>
    </xf>
    <xf numFmtId="0" fontId="14" fillId="0" borderId="24" xfId="5" applyFont="1" applyBorder="1" applyAlignment="1" applyProtection="1">
      <alignment horizontal="left" wrapText="1"/>
      <protection locked="0"/>
    </xf>
    <xf numFmtId="0" fontId="14" fillId="0" borderId="17" xfId="5" applyFont="1" applyBorder="1" applyAlignment="1" applyProtection="1">
      <alignment horizontal="left" wrapText="1"/>
      <protection locked="0"/>
    </xf>
    <xf numFmtId="0" fontId="14" fillId="0" borderId="25" xfId="5" applyFont="1" applyBorder="1" applyAlignment="1" applyProtection="1">
      <alignment horizontal="left"/>
      <protection locked="0"/>
    </xf>
    <xf numFmtId="49" fontId="5" fillId="0" borderId="26" xfId="5" applyNumberFormat="1" applyFont="1" applyBorder="1" applyAlignment="1">
      <alignment horizontal="left" vertical="center" wrapText="1"/>
    </xf>
    <xf numFmtId="0" fontId="15" fillId="0" borderId="0" xfId="5" applyFont="1" applyAlignment="1">
      <alignment horizontal="right"/>
    </xf>
    <xf numFmtId="0" fontId="1" fillId="0" borderId="22" xfId="5" applyBorder="1" applyAlignment="1">
      <alignment horizontal="center" vertical="center"/>
    </xf>
    <xf numFmtId="38" fontId="13" fillId="0" borderId="15" xfId="1" applyFont="1" applyFill="1" applyBorder="1" applyAlignment="1" applyProtection="1">
      <alignment horizontal="right"/>
    </xf>
    <xf numFmtId="38" fontId="13" fillId="0" borderId="17" xfId="1" applyFont="1" applyFill="1" applyBorder="1" applyAlignment="1" applyProtection="1">
      <alignment horizontal="right"/>
    </xf>
    <xf numFmtId="38" fontId="13" fillId="0" borderId="15" xfId="5" applyNumberFormat="1" applyFont="1" applyBorder="1" applyAlignment="1">
      <alignment horizontal="right"/>
    </xf>
    <xf numFmtId="0" fontId="11" fillId="4" borderId="0" xfId="5" applyFont="1" applyFill="1" applyAlignment="1">
      <alignment horizontal="left" vertical="center"/>
    </xf>
    <xf numFmtId="0" fontId="1" fillId="0" borderId="30" xfId="5" applyBorder="1" applyAlignment="1">
      <alignment horizontal="center"/>
    </xf>
    <xf numFmtId="0" fontId="14" fillId="0" borderId="31" xfId="5" applyFont="1" applyBorder="1" applyAlignment="1">
      <alignment horizontal="left" wrapText="1" shrinkToFit="1"/>
    </xf>
    <xf numFmtId="0" fontId="14" fillId="0" borderId="32" xfId="5" applyFont="1" applyBorder="1" applyAlignment="1">
      <alignment horizontal="left" wrapText="1" shrinkToFit="1"/>
    </xf>
    <xf numFmtId="0" fontId="14" fillId="0" borderId="32" xfId="5" applyFont="1" applyBorder="1" applyAlignment="1">
      <alignment horizontal="left"/>
    </xf>
    <xf numFmtId="0" fontId="1" fillId="0" borderId="30" xfId="5" applyBorder="1" applyAlignment="1">
      <alignment horizontal="left"/>
    </xf>
    <xf numFmtId="0" fontId="14" fillId="0" borderId="33" xfId="5" applyFont="1" applyBorder="1" applyAlignment="1" applyProtection="1">
      <alignment horizontal="left" wrapText="1"/>
      <protection locked="0"/>
    </xf>
    <xf numFmtId="0" fontId="14" fillId="0" borderId="34" xfId="5" applyFont="1" applyBorder="1" applyAlignment="1" applyProtection="1">
      <alignment horizontal="left" wrapText="1"/>
      <protection locked="0"/>
    </xf>
    <xf numFmtId="0" fontId="14" fillId="0" borderId="35" xfId="5" applyFont="1" applyBorder="1" applyAlignment="1" applyProtection="1">
      <alignment horizontal="left" wrapText="1"/>
      <protection locked="0"/>
    </xf>
    <xf numFmtId="0" fontId="14" fillId="0" borderId="30" xfId="5" applyFont="1" applyBorder="1" applyAlignment="1" applyProtection="1">
      <alignment horizontal="left"/>
      <protection locked="0"/>
    </xf>
    <xf numFmtId="179" fontId="5" fillId="2" borderId="30" xfId="5" applyNumberFormat="1" applyFont="1" applyFill="1" applyBorder="1" applyAlignment="1">
      <alignment horizontal="right"/>
    </xf>
    <xf numFmtId="0" fontId="1" fillId="0" borderId="36" xfId="5" applyBorder="1" applyAlignment="1">
      <alignment horizontal="center" vertical="center"/>
    </xf>
    <xf numFmtId="0" fontId="1" fillId="0" borderId="32" xfId="5" applyBorder="1" applyAlignment="1">
      <alignment horizontal="center" vertical="center"/>
    </xf>
    <xf numFmtId="0" fontId="8" fillId="0" borderId="36" xfId="5" applyFont="1" applyBorder="1" applyAlignment="1">
      <alignment horizontal="left"/>
    </xf>
    <xf numFmtId="38" fontId="13" fillId="0" borderId="31" xfId="1" applyFont="1" applyBorder="1" applyAlignment="1">
      <alignment horizontal="right"/>
    </xf>
    <xf numFmtId="38" fontId="13" fillId="0" borderId="35" xfId="1" applyFont="1" applyBorder="1" applyAlignment="1">
      <alignment horizontal="right"/>
    </xf>
    <xf numFmtId="38" fontId="5" fillId="0" borderId="37" xfId="5" applyNumberFormat="1" applyFont="1" applyBorder="1" applyAlignment="1">
      <alignment horizontal="right" vertical="center"/>
    </xf>
    <xf numFmtId="0" fontId="10" fillId="0" borderId="13" xfId="5" applyFont="1" applyBorder="1" applyAlignment="1">
      <alignment vertical="center"/>
    </xf>
    <xf numFmtId="0" fontId="11" fillId="0" borderId="0" xfId="5" applyFont="1" applyAlignment="1">
      <alignment vertical="center"/>
    </xf>
    <xf numFmtId="0" fontId="11" fillId="0" borderId="0" xfId="5" applyFont="1" applyAlignment="1">
      <alignment horizontal="left" vertical="center"/>
    </xf>
    <xf numFmtId="0" fontId="16" fillId="0" borderId="0" xfId="5" applyFont="1"/>
    <xf numFmtId="0" fontId="1" fillId="0" borderId="0" xfId="5" applyAlignment="1">
      <alignment horizontal="center" vertical="center"/>
    </xf>
    <xf numFmtId="0" fontId="5" fillId="0" borderId="3" xfId="5" applyFont="1" applyBorder="1" applyAlignment="1">
      <alignment horizontal="left" vertical="center"/>
    </xf>
    <xf numFmtId="0" fontId="5" fillId="0" borderId="4" xfId="5" applyFont="1" applyBorder="1" applyAlignment="1">
      <alignment horizontal="left" vertical="center"/>
    </xf>
    <xf numFmtId="0" fontId="5" fillId="0" borderId="15" xfId="5" applyFont="1" applyBorder="1" applyAlignment="1">
      <alignment horizontal="left" vertical="center"/>
    </xf>
    <xf numFmtId="0" fontId="5" fillId="0" borderId="16" xfId="5" applyFont="1" applyBorder="1" applyAlignment="1">
      <alignment horizontal="left" vertical="center"/>
    </xf>
    <xf numFmtId="3" fontId="1" fillId="0" borderId="0" xfId="5" applyNumberFormat="1"/>
    <xf numFmtId="0" fontId="17" fillId="0" borderId="0" xfId="5" applyFont="1" applyAlignment="1">
      <alignment horizontal="justify"/>
    </xf>
    <xf numFmtId="0" fontId="18" fillId="0" borderId="0" xfId="5" applyFont="1" applyAlignment="1">
      <alignment horizontal="left"/>
    </xf>
    <xf numFmtId="0" fontId="17" fillId="0" borderId="0" xfId="5" applyFont="1" applyAlignment="1">
      <alignment horizontal="center"/>
    </xf>
    <xf numFmtId="0" fontId="19" fillId="0" borderId="9" xfId="5" applyFont="1" applyBorder="1" applyAlignment="1">
      <alignment horizontal="center" vertical="center" wrapText="1"/>
    </xf>
    <xf numFmtId="0" fontId="19" fillId="0" borderId="38" xfId="5" applyFont="1" applyBorder="1" applyAlignment="1">
      <alignment horizontal="center" vertical="center" wrapText="1"/>
    </xf>
    <xf numFmtId="0" fontId="19" fillId="0" borderId="10" xfId="5" applyFont="1" applyBorder="1" applyAlignment="1">
      <alignment horizontal="center" vertical="center" wrapText="1"/>
    </xf>
    <xf numFmtId="180" fontId="20" fillId="0" borderId="11" xfId="5" applyNumberFormat="1" applyFont="1" applyBorder="1" applyAlignment="1">
      <alignment horizontal="center" vertical="center" shrinkToFit="1"/>
    </xf>
    <xf numFmtId="180" fontId="20" fillId="0" borderId="6" xfId="5" applyNumberFormat="1" applyFont="1" applyBorder="1" applyAlignment="1">
      <alignment horizontal="center" vertical="center" shrinkToFit="1"/>
    </xf>
    <xf numFmtId="180" fontId="20" fillId="0" borderId="4" xfId="5" applyNumberFormat="1" applyFont="1" applyBorder="1" applyAlignment="1">
      <alignment horizontal="center" vertical="center" shrinkToFit="1"/>
    </xf>
    <xf numFmtId="0" fontId="19" fillId="0" borderId="8" xfId="5" applyFont="1" applyBorder="1" applyAlignment="1">
      <alignment horizontal="center" vertical="center" wrapText="1"/>
    </xf>
    <xf numFmtId="0" fontId="19" fillId="0" borderId="39" xfId="5" applyFont="1" applyBorder="1" applyAlignment="1">
      <alignment horizontal="center" vertical="center" wrapText="1"/>
    </xf>
    <xf numFmtId="0" fontId="21" fillId="0" borderId="0" xfId="5" applyFont="1" applyAlignment="1">
      <alignment horizontal="justify"/>
    </xf>
    <xf numFmtId="0" fontId="22" fillId="0" borderId="0" xfId="5" applyFont="1" applyAlignment="1">
      <alignment horizontal="center" vertical="center" wrapText="1"/>
    </xf>
    <xf numFmtId="0" fontId="3" fillId="0" borderId="0" xfId="5" applyFont="1" applyAlignment="1">
      <alignment horizontal="center" vertical="center" wrapText="1"/>
    </xf>
    <xf numFmtId="0" fontId="19" fillId="0" borderId="40" xfId="5" applyFont="1" applyBorder="1" applyAlignment="1">
      <alignment horizontal="center" vertical="center" wrapText="1"/>
    </xf>
    <xf numFmtId="0" fontId="19" fillId="0" borderId="41" xfId="5" applyFont="1" applyBorder="1" applyAlignment="1">
      <alignment horizontal="center" vertical="center" wrapText="1"/>
    </xf>
    <xf numFmtId="0" fontId="19" fillId="0" borderId="23" xfId="5" applyFont="1" applyBorder="1" applyAlignment="1">
      <alignment horizontal="center" vertical="center" wrapText="1"/>
    </xf>
    <xf numFmtId="0" fontId="19" fillId="0" borderId="16" xfId="5" applyFont="1" applyBorder="1" applyAlignment="1">
      <alignment horizontal="center" vertical="center" wrapText="1"/>
    </xf>
    <xf numFmtId="38" fontId="20" fillId="0" borderId="22" xfId="17" applyFont="1" applyBorder="1" applyAlignment="1">
      <alignment vertical="center" shrinkToFit="1"/>
    </xf>
    <xf numFmtId="38" fontId="20" fillId="0" borderId="17" xfId="17" applyFont="1" applyBorder="1" applyAlignment="1">
      <alignment vertical="center" shrinkToFit="1"/>
    </xf>
    <xf numFmtId="41" fontId="20" fillId="0" borderId="17" xfId="5" applyNumberFormat="1" applyFont="1" applyBorder="1" applyAlignment="1">
      <alignment vertical="center" shrinkToFit="1"/>
    </xf>
    <xf numFmtId="41" fontId="20" fillId="0" borderId="16" xfId="5" applyNumberFormat="1" applyFont="1" applyBorder="1" applyAlignment="1">
      <alignment vertical="center" shrinkToFit="1"/>
    </xf>
    <xf numFmtId="3" fontId="20" fillId="0" borderId="25" xfId="5" applyNumberFormat="1" applyFont="1" applyBorder="1" applyAlignment="1">
      <alignment vertical="center" shrinkToFit="1"/>
    </xf>
    <xf numFmtId="0" fontId="23" fillId="0" borderId="25" xfId="5" applyFont="1" applyBorder="1" applyAlignment="1">
      <alignment horizontal="justify" vertical="center" wrapText="1"/>
    </xf>
    <xf numFmtId="3" fontId="20" fillId="2" borderId="22" xfId="5" applyNumberFormat="1" applyFont="1" applyFill="1" applyBorder="1" applyAlignment="1" applyProtection="1">
      <alignment vertical="center" shrinkToFit="1"/>
      <protection locked="0"/>
    </xf>
    <xf numFmtId="3" fontId="20" fillId="2" borderId="17" xfId="5" applyNumberFormat="1" applyFont="1" applyFill="1" applyBorder="1" applyAlignment="1" applyProtection="1">
      <alignment vertical="center" shrinkToFit="1"/>
      <protection locked="0"/>
    </xf>
    <xf numFmtId="0" fontId="20" fillId="2" borderId="17" xfId="5" applyFont="1" applyFill="1" applyBorder="1" applyAlignment="1" applyProtection="1">
      <alignment vertical="center" shrinkToFit="1"/>
      <protection locked="0"/>
    </xf>
    <xf numFmtId="0" fontId="20" fillId="2" borderId="16" xfId="5" applyFont="1" applyFill="1" applyBorder="1" applyAlignment="1" applyProtection="1">
      <alignment vertical="center" shrinkToFit="1"/>
      <protection locked="0"/>
    </xf>
    <xf numFmtId="0" fontId="19" fillId="0" borderId="42" xfId="5" applyFont="1" applyBorder="1" applyAlignment="1" applyProtection="1">
      <alignment horizontal="center" vertical="center" wrapText="1"/>
      <protection locked="0"/>
    </xf>
    <xf numFmtId="56" fontId="19" fillId="0" borderId="23" xfId="5" applyNumberFormat="1" applyFont="1" applyBorder="1" applyAlignment="1" applyProtection="1">
      <alignment horizontal="center" vertical="center" wrapText="1"/>
      <protection locked="0"/>
    </xf>
    <xf numFmtId="0" fontId="19" fillId="0" borderId="43" xfId="5" applyFont="1" applyBorder="1" applyAlignment="1" applyProtection="1">
      <alignment horizontal="center" vertical="center" wrapText="1"/>
      <protection locked="0"/>
    </xf>
    <xf numFmtId="0" fontId="24" fillId="0" borderId="23" xfId="5" applyFont="1" applyBorder="1" applyAlignment="1" applyProtection="1">
      <alignment horizontal="left" vertical="center" wrapText="1" shrinkToFit="1"/>
      <protection locked="0"/>
    </xf>
    <xf numFmtId="0" fontId="22" fillId="0" borderId="0" xfId="5" applyFont="1" applyAlignment="1">
      <alignment horizontal="center" vertical="top" wrapText="1"/>
    </xf>
    <xf numFmtId="0" fontId="23" fillId="0" borderId="0" xfId="5" applyFont="1" applyAlignment="1">
      <alignment horizontal="center" vertical="center" wrapText="1"/>
    </xf>
    <xf numFmtId="0" fontId="21" fillId="0" borderId="0" xfId="5" applyFont="1" applyAlignment="1">
      <alignment horizontal="justify" vertical="top" wrapText="1"/>
    </xf>
    <xf numFmtId="0" fontId="19" fillId="0" borderId="44" xfId="5" applyFont="1" applyBorder="1" applyAlignment="1">
      <alignment horizontal="center" vertical="center" wrapText="1"/>
    </xf>
    <xf numFmtId="38" fontId="20" fillId="2" borderId="22" xfId="1" applyFont="1" applyFill="1" applyBorder="1" applyAlignment="1" applyProtection="1">
      <alignment vertical="center" shrinkToFit="1"/>
      <protection locked="0"/>
    </xf>
    <xf numFmtId="38" fontId="20" fillId="2" borderId="17" xfId="1" applyFont="1" applyFill="1" applyBorder="1" applyAlignment="1" applyProtection="1">
      <alignment vertical="center" shrinkToFit="1"/>
      <protection locked="0"/>
    </xf>
    <xf numFmtId="38" fontId="20" fillId="2" borderId="16" xfId="1" applyFont="1" applyFill="1" applyBorder="1" applyAlignment="1" applyProtection="1">
      <alignment vertical="center" shrinkToFit="1"/>
      <protection locked="0"/>
    </xf>
    <xf numFmtId="0" fontId="25" fillId="0" borderId="0" xfId="5" applyFont="1" applyAlignment="1">
      <alignment horizontal="justify" vertical="center" wrapText="1"/>
    </xf>
    <xf numFmtId="56" fontId="19" fillId="0" borderId="15" xfId="5" applyNumberFormat="1" applyFont="1" applyBorder="1" applyAlignment="1" applyProtection="1">
      <alignment horizontal="center" vertical="center" wrapText="1"/>
      <protection locked="0"/>
    </xf>
    <xf numFmtId="0" fontId="19" fillId="0" borderId="45" xfId="5" applyFont="1" applyBorder="1" applyAlignment="1">
      <alignment horizontal="center" vertical="center" wrapText="1"/>
    </xf>
    <xf numFmtId="0" fontId="19" fillId="0" borderId="46" xfId="5" applyFont="1" applyBorder="1" applyAlignment="1" applyProtection="1">
      <alignment horizontal="center" vertical="center" wrapText="1"/>
      <protection locked="0"/>
    </xf>
    <xf numFmtId="56" fontId="19" fillId="0" borderId="47" xfId="5" applyNumberFormat="1" applyFont="1" applyBorder="1" applyAlignment="1" applyProtection="1">
      <alignment horizontal="center" vertical="center" wrapText="1"/>
      <protection locked="0"/>
    </xf>
    <xf numFmtId="0" fontId="19" fillId="0" borderId="0" xfId="5" applyFont="1" applyAlignment="1">
      <alignment horizontal="center" vertical="center" wrapText="1"/>
    </xf>
    <xf numFmtId="0" fontId="19" fillId="0" borderId="48" xfId="5" applyFont="1" applyBorder="1" applyAlignment="1" applyProtection="1">
      <alignment horizontal="center" vertical="center" wrapText="1"/>
      <protection locked="0"/>
    </xf>
    <xf numFmtId="0" fontId="19" fillId="0" borderId="22" xfId="5" applyFont="1" applyBorder="1" applyAlignment="1">
      <alignment horizontal="center" vertical="center" wrapText="1"/>
    </xf>
    <xf numFmtId="0" fontId="19" fillId="0" borderId="15" xfId="5" applyFont="1" applyBorder="1" applyAlignment="1">
      <alignment horizontal="center" vertical="center" wrapText="1"/>
    </xf>
    <xf numFmtId="0" fontId="19" fillId="0" borderId="17" xfId="5" applyFont="1" applyBorder="1" applyAlignment="1">
      <alignment horizontal="center" vertical="center" wrapText="1"/>
    </xf>
    <xf numFmtId="3" fontId="20" fillId="0" borderId="22" xfId="5" applyNumberFormat="1" applyFont="1" applyBorder="1" applyAlignment="1">
      <alignment vertical="center" shrinkToFit="1"/>
    </xf>
    <xf numFmtId="3" fontId="20" fillId="0" borderId="17" xfId="5" applyNumberFormat="1" applyFont="1" applyBorder="1" applyAlignment="1">
      <alignment vertical="center" shrinkToFit="1"/>
    </xf>
    <xf numFmtId="3" fontId="20" fillId="0" borderId="16" xfId="5" applyNumberFormat="1" applyFont="1" applyBorder="1" applyAlignment="1">
      <alignment vertical="center" shrinkToFit="1"/>
    </xf>
    <xf numFmtId="0" fontId="23" fillId="0" borderId="19" xfId="5" applyFont="1" applyBorder="1" applyAlignment="1">
      <alignment horizontal="right" vertical="center" wrapText="1"/>
    </xf>
    <xf numFmtId="0" fontId="19" fillId="0" borderId="49" xfId="5" applyFont="1" applyBorder="1" applyAlignment="1">
      <alignment horizontal="center" vertical="center" wrapText="1"/>
    </xf>
    <xf numFmtId="0" fontId="19" fillId="0" borderId="21" xfId="5" applyFont="1" applyBorder="1" applyAlignment="1">
      <alignment horizontal="center" vertical="center" wrapText="1"/>
    </xf>
    <xf numFmtId="0" fontId="23" fillId="0" borderId="25" xfId="5" applyFont="1" applyBorder="1" applyAlignment="1">
      <alignment horizontal="right" vertical="center" wrapText="1"/>
    </xf>
    <xf numFmtId="0" fontId="19" fillId="0" borderId="50" xfId="5" applyFont="1" applyBorder="1" applyAlignment="1">
      <alignment horizontal="center" vertical="center" wrapText="1"/>
    </xf>
    <xf numFmtId="0" fontId="26" fillId="0" borderId="22" xfId="5" applyFont="1" applyBorder="1" applyAlignment="1">
      <alignment vertical="center" shrinkToFit="1"/>
    </xf>
    <xf numFmtId="0" fontId="26" fillId="0" borderId="17" xfId="5" applyFont="1" applyBorder="1" applyAlignment="1">
      <alignment vertical="center" shrinkToFit="1"/>
    </xf>
    <xf numFmtId="0" fontId="26" fillId="0" borderId="16" xfId="5" applyFont="1" applyBorder="1" applyAlignment="1">
      <alignment vertical="center" shrinkToFit="1"/>
    </xf>
    <xf numFmtId="3" fontId="26" fillId="0" borderId="25" xfId="5" applyNumberFormat="1" applyFont="1" applyBorder="1" applyAlignment="1">
      <alignment vertical="center" shrinkToFit="1"/>
    </xf>
    <xf numFmtId="0" fontId="27" fillId="0" borderId="25" xfId="5" applyFont="1" applyBorder="1"/>
    <xf numFmtId="0" fontId="28" fillId="0" borderId="0" xfId="5" applyFont="1" applyAlignment="1">
      <alignment horizontal="justify"/>
    </xf>
    <xf numFmtId="0" fontId="24" fillId="0" borderId="36" xfId="5" applyFont="1" applyBorder="1" applyAlignment="1">
      <alignment horizontal="center" vertical="center" wrapText="1"/>
    </xf>
    <xf numFmtId="0" fontId="24" fillId="0" borderId="31" xfId="5" applyFont="1" applyBorder="1" applyAlignment="1">
      <alignment horizontal="center" vertical="center" wrapText="1"/>
    </xf>
    <xf numFmtId="0" fontId="24" fillId="0" borderId="35" xfId="5" applyFont="1" applyBorder="1" applyAlignment="1">
      <alignment horizontal="center" vertical="center" wrapText="1"/>
    </xf>
    <xf numFmtId="0" fontId="19" fillId="0" borderId="32" xfId="5" applyFont="1" applyBorder="1" applyAlignment="1">
      <alignment horizontal="center" vertical="center" wrapText="1"/>
    </xf>
    <xf numFmtId="3" fontId="20" fillId="0" borderId="36" xfId="5" applyNumberFormat="1" applyFont="1" applyBorder="1" applyAlignment="1">
      <alignment vertical="center" shrinkToFit="1"/>
    </xf>
    <xf numFmtId="3" fontId="20" fillId="0" borderId="35" xfId="5" applyNumberFormat="1" applyFont="1" applyBorder="1" applyAlignment="1">
      <alignment vertical="center" shrinkToFit="1"/>
    </xf>
    <xf numFmtId="3" fontId="20" fillId="0" borderId="32" xfId="5" applyNumberFormat="1" applyFont="1" applyBorder="1" applyAlignment="1">
      <alignment vertical="center" shrinkToFit="1"/>
    </xf>
    <xf numFmtId="3" fontId="20" fillId="0" borderId="37" xfId="5" applyNumberFormat="1" applyFont="1" applyBorder="1" applyAlignment="1">
      <alignment vertical="center" shrinkToFit="1"/>
    </xf>
    <xf numFmtId="0" fontId="27" fillId="0" borderId="37" xfId="5" applyFont="1" applyBorder="1"/>
    <xf numFmtId="0" fontId="24" fillId="0" borderId="23" xfId="5" applyFont="1" applyBorder="1" applyAlignment="1" applyProtection="1">
      <alignment horizontal="left" vertical="center" wrapText="1"/>
      <protection locked="0"/>
    </xf>
    <xf numFmtId="0" fontId="24" fillId="0" borderId="15" xfId="5" applyFont="1" applyBorder="1" applyAlignment="1" applyProtection="1">
      <alignment horizontal="left" vertical="center" wrapText="1"/>
      <protection locked="0"/>
    </xf>
    <xf numFmtId="0" fontId="24" fillId="0" borderId="1" xfId="5" applyFont="1" applyBorder="1" applyAlignment="1" applyProtection="1">
      <alignment horizontal="left" vertical="center" wrapText="1"/>
      <protection locked="0"/>
    </xf>
    <xf numFmtId="0" fontId="20" fillId="0" borderId="22" xfId="5" applyFont="1" applyBorder="1" applyAlignment="1">
      <alignment vertical="center" shrinkToFit="1"/>
    </xf>
    <xf numFmtId="0" fontId="20" fillId="0" borderId="17" xfId="5" applyFont="1" applyBorder="1" applyAlignment="1">
      <alignment vertical="center" shrinkToFit="1"/>
    </xf>
    <xf numFmtId="0" fontId="20" fillId="0" borderId="16" xfId="5" applyFont="1" applyBorder="1" applyAlignment="1">
      <alignment vertical="center" shrinkToFit="1"/>
    </xf>
    <xf numFmtId="49" fontId="1" fillId="0" borderId="0" xfId="5" applyNumberFormat="1"/>
    <xf numFmtId="0" fontId="24" fillId="0" borderId="0" xfId="5" applyFont="1"/>
    <xf numFmtId="0" fontId="10" fillId="0" borderId="0" xfId="5" applyFont="1"/>
    <xf numFmtId="0" fontId="30" fillId="5" borderId="0" xfId="15" applyFont="1" applyFill="1" applyAlignment="1">
      <alignment horizontal="center" vertical="center"/>
    </xf>
    <xf numFmtId="49" fontId="27" fillId="0" borderId="17" xfId="5" applyNumberFormat="1" applyFont="1" applyBorder="1" applyAlignment="1">
      <alignment horizontal="center" vertical="center"/>
    </xf>
    <xf numFmtId="57" fontId="10" fillId="0" borderId="51" xfId="5" applyNumberFormat="1" applyFont="1" applyBorder="1" applyAlignment="1">
      <alignment horizontal="right" vertical="center"/>
    </xf>
    <xf numFmtId="57" fontId="10" fillId="0" borderId="15" xfId="5" applyNumberFormat="1" applyFont="1" applyBorder="1" applyAlignment="1">
      <alignment horizontal="right" vertical="center"/>
    </xf>
    <xf numFmtId="49" fontId="10" fillId="0" borderId="52" xfId="5" applyNumberFormat="1" applyFont="1" applyBorder="1" applyAlignment="1">
      <alignment horizontal="center" vertical="center"/>
    </xf>
    <xf numFmtId="0" fontId="31" fillId="0" borderId="0" xfId="5" applyFont="1" applyAlignment="1">
      <alignment horizontal="left" vertical="center"/>
    </xf>
    <xf numFmtId="0" fontId="32" fillId="0" borderId="0" xfId="5" applyFont="1" applyAlignment="1">
      <alignment vertical="center"/>
    </xf>
    <xf numFmtId="0" fontId="33" fillId="0" borderId="0" xfId="5" applyFont="1" applyAlignment="1">
      <alignment horizontal="left" vertical="center" wrapText="1"/>
    </xf>
    <xf numFmtId="0" fontId="33" fillId="0" borderId="0" xfId="5" applyFont="1" applyAlignment="1">
      <alignment horizontal="left" vertical="center"/>
    </xf>
    <xf numFmtId="49" fontId="34" fillId="0" borderId="0" xfId="5" applyNumberFormat="1" applyFont="1"/>
    <xf numFmtId="49" fontId="10" fillId="0" borderId="0" xfId="5" applyNumberFormat="1" applyFont="1"/>
    <xf numFmtId="0" fontId="27" fillId="0" borderId="53" xfId="5" applyFont="1" applyBorder="1" applyAlignment="1">
      <alignment horizontal="center" vertical="center" wrapText="1"/>
    </xf>
    <xf numFmtId="0" fontId="27" fillId="0" borderId="15" xfId="5" applyFont="1" applyBorder="1" applyAlignment="1">
      <alignment vertical="center"/>
    </xf>
    <xf numFmtId="0" fontId="10" fillId="0" borderId="51" xfId="5" applyFont="1" applyBorder="1" applyAlignment="1">
      <alignment vertical="center"/>
    </xf>
    <xf numFmtId="0" fontId="10" fillId="0" borderId="15" xfId="5" applyFont="1" applyBorder="1" applyAlignment="1">
      <alignment horizontal="left" vertical="center"/>
    </xf>
    <xf numFmtId="0" fontId="10" fillId="0" borderId="17" xfId="5" applyFont="1" applyBorder="1" applyAlignment="1">
      <alignment horizontal="left" vertical="center"/>
    </xf>
    <xf numFmtId="0" fontId="10" fillId="0" borderId="17" xfId="5" applyFont="1" applyBorder="1" applyAlignment="1">
      <alignment horizontal="left" vertical="center" wrapText="1"/>
    </xf>
    <xf numFmtId="0" fontId="10" fillId="0" borderId="51" xfId="5" applyFont="1" applyBorder="1" applyAlignment="1">
      <alignment horizontal="left" vertical="center"/>
    </xf>
    <xf numFmtId="0" fontId="10" fillId="0" borderId="54" xfId="5" applyFont="1" applyBorder="1" applyAlignment="1">
      <alignment vertical="center"/>
    </xf>
    <xf numFmtId="0" fontId="35" fillId="0" borderId="17" xfId="5" applyFont="1" applyBorder="1" applyAlignment="1">
      <alignment horizontal="center"/>
    </xf>
    <xf numFmtId="0" fontId="35" fillId="0" borderId="17" xfId="5" applyFont="1" applyBorder="1" applyAlignment="1">
      <alignment horizontal="center" vertical="center" wrapText="1"/>
    </xf>
    <xf numFmtId="0" fontId="27" fillId="0" borderId="17" xfId="5" applyFont="1" applyBorder="1" applyAlignment="1">
      <alignment horizontal="center" vertical="center" wrapText="1"/>
    </xf>
    <xf numFmtId="0" fontId="27" fillId="0" borderId="17" xfId="5" applyFont="1" applyBorder="1" applyAlignment="1">
      <alignment horizontal="center" vertical="center"/>
    </xf>
    <xf numFmtId="38" fontId="36" fillId="0" borderId="55" xfId="1" applyFont="1" applyBorder="1" applyAlignment="1">
      <alignment vertical="center"/>
    </xf>
    <xf numFmtId="38" fontId="10" fillId="0" borderId="15" xfId="1" applyFont="1" applyBorder="1" applyAlignment="1">
      <alignment vertical="center"/>
    </xf>
    <xf numFmtId="38" fontId="10" fillId="0" borderId="17" xfId="1" applyFont="1" applyBorder="1" applyAlignment="1">
      <alignment vertical="center"/>
    </xf>
    <xf numFmtId="38" fontId="10" fillId="0" borderId="53" xfId="1" applyFont="1" applyBorder="1" applyAlignment="1">
      <alignment vertical="center"/>
    </xf>
    <xf numFmtId="38" fontId="10" fillId="0" borderId="51" xfId="1" applyFont="1" applyBorder="1" applyAlignment="1">
      <alignment vertical="center"/>
    </xf>
    <xf numFmtId="3" fontId="10" fillId="0" borderId="56" xfId="1" applyNumberFormat="1" applyFont="1" applyBorder="1" applyAlignment="1">
      <alignment vertical="center"/>
    </xf>
    <xf numFmtId="0" fontId="34" fillId="0" borderId="0" xfId="5" applyFont="1"/>
    <xf numFmtId="0" fontId="35" fillId="0" borderId="17" xfId="5" applyFont="1" applyBorder="1" applyAlignment="1">
      <alignment horizontal="center" vertical="center"/>
    </xf>
    <xf numFmtId="0" fontId="37" fillId="0" borderId="17" xfId="5" applyFont="1" applyBorder="1" applyAlignment="1">
      <alignment horizontal="left" vertical="center" shrinkToFit="1"/>
    </xf>
    <xf numFmtId="0" fontId="38" fillId="0" borderId="0" xfId="5" applyFont="1" applyAlignment="1">
      <alignment vertical="top"/>
    </xf>
    <xf numFmtId="0" fontId="39" fillId="0" borderId="24" xfId="5" applyFont="1" applyBorder="1" applyAlignment="1">
      <alignment horizontal="center" vertical="center"/>
    </xf>
    <xf numFmtId="0" fontId="27" fillId="0" borderId="24" xfId="5" applyFont="1" applyBorder="1" applyAlignment="1">
      <alignment horizontal="center" vertical="center" wrapText="1"/>
    </xf>
    <xf numFmtId="38" fontId="36" fillId="0" borderId="57" xfId="1" applyFont="1" applyBorder="1" applyAlignment="1">
      <alignment vertical="center"/>
    </xf>
    <xf numFmtId="3" fontId="10" fillId="0" borderId="23" xfId="1" applyNumberFormat="1" applyFont="1" applyBorder="1" applyAlignment="1">
      <alignment vertical="center"/>
    </xf>
    <xf numFmtId="3" fontId="10" fillId="0" borderId="41" xfId="1" applyNumberFormat="1" applyFont="1" applyBorder="1" applyAlignment="1">
      <alignment vertical="center"/>
    </xf>
    <xf numFmtId="3" fontId="10" fillId="0" borderId="58" xfId="1" applyNumberFormat="1" applyFont="1" applyBorder="1" applyAlignment="1">
      <alignment vertical="center"/>
    </xf>
    <xf numFmtId="3" fontId="10" fillId="0" borderId="52" xfId="1" applyNumberFormat="1" applyFont="1" applyBorder="1" applyAlignment="1">
      <alignment vertical="center"/>
    </xf>
    <xf numFmtId="0" fontId="32" fillId="0" borderId="0" xfId="5" applyFont="1"/>
    <xf numFmtId="0" fontId="39" fillId="0" borderId="28" xfId="5" applyFont="1" applyBorder="1" applyAlignment="1">
      <alignment horizontal="center" vertical="center"/>
    </xf>
    <xf numFmtId="3" fontId="10" fillId="0" borderId="15" xfId="1" applyNumberFormat="1" applyFont="1" applyBorder="1" applyAlignment="1">
      <alignment vertical="center"/>
    </xf>
    <xf numFmtId="3" fontId="10" fillId="0" borderId="45" xfId="1" applyNumberFormat="1" applyFont="1" applyBorder="1" applyAlignment="1">
      <alignment vertical="center"/>
    </xf>
    <xf numFmtId="3" fontId="10" fillId="0" borderId="51" xfId="1" applyNumberFormat="1" applyFont="1" applyBorder="1" applyAlignment="1">
      <alignment vertical="center"/>
    </xf>
    <xf numFmtId="0" fontId="37" fillId="0" borderId="17" xfId="5" applyFont="1" applyBorder="1" applyAlignment="1">
      <alignment horizontal="left" vertical="center"/>
    </xf>
    <xf numFmtId="0" fontId="40" fillId="0" borderId="0" xfId="5" applyFont="1" applyAlignment="1">
      <alignment horizontal="center" vertical="top"/>
    </xf>
    <xf numFmtId="0" fontId="35" fillId="0" borderId="24" xfId="5" applyFont="1" applyBorder="1" applyAlignment="1">
      <alignment horizontal="left" vertical="center"/>
    </xf>
    <xf numFmtId="0" fontId="37" fillId="0" borderId="24" xfId="5" applyFont="1" applyBorder="1" applyAlignment="1">
      <alignment horizontal="left" vertical="center"/>
    </xf>
    <xf numFmtId="0" fontId="37" fillId="0" borderId="24" xfId="5" applyFont="1" applyBorder="1" applyAlignment="1">
      <alignment horizontal="left" vertical="center" shrinkToFit="1"/>
    </xf>
    <xf numFmtId="0" fontId="35" fillId="0" borderId="28" xfId="5" applyFont="1" applyBorder="1" applyAlignment="1">
      <alignment horizontal="left" vertical="center"/>
    </xf>
    <xf numFmtId="0" fontId="37" fillId="0" borderId="28" xfId="5" applyFont="1" applyBorder="1" applyAlignment="1">
      <alignment horizontal="left" vertical="center"/>
    </xf>
    <xf numFmtId="0" fontId="37" fillId="0" borderId="28" xfId="5" applyFont="1" applyBorder="1" applyAlignment="1">
      <alignment horizontal="left" vertical="center" shrinkToFit="1"/>
    </xf>
    <xf numFmtId="49" fontId="27" fillId="0" borderId="1" xfId="5" applyNumberFormat="1" applyFont="1" applyBorder="1" applyAlignment="1">
      <alignment horizontal="left"/>
    </xf>
    <xf numFmtId="38" fontId="36" fillId="0" borderId="59" xfId="1" applyFont="1" applyBorder="1" applyAlignment="1">
      <alignment vertical="center"/>
    </xf>
    <xf numFmtId="3" fontId="10" fillId="0" borderId="47" xfId="1" applyNumberFormat="1" applyFont="1" applyBorder="1" applyAlignment="1">
      <alignment vertical="center"/>
    </xf>
    <xf numFmtId="3" fontId="10" fillId="0" borderId="44" xfId="1" applyNumberFormat="1" applyFont="1" applyBorder="1" applyAlignment="1">
      <alignment vertical="center"/>
    </xf>
    <xf numFmtId="3" fontId="10" fillId="0" borderId="60" xfId="1" applyNumberFormat="1" applyFont="1" applyBorder="1" applyAlignment="1">
      <alignment vertical="center"/>
    </xf>
    <xf numFmtId="49" fontId="27" fillId="0" borderId="0" xfId="5" applyNumberFormat="1" applyFont="1" applyAlignment="1">
      <alignment horizontal="center"/>
    </xf>
    <xf numFmtId="0" fontId="1" fillId="0" borderId="1" xfId="5" applyBorder="1" applyAlignment="1">
      <alignment horizontal="right" vertical="center" wrapText="1" shrinkToFit="1"/>
    </xf>
    <xf numFmtId="0" fontId="27" fillId="0" borderId="15" xfId="5" applyFont="1" applyBorder="1" applyAlignment="1">
      <alignment horizontal="center" vertical="center"/>
    </xf>
    <xf numFmtId="38" fontId="41" fillId="0" borderId="51" xfId="1" applyFont="1" applyBorder="1" applyAlignment="1">
      <alignment vertical="center"/>
    </xf>
    <xf numFmtId="38" fontId="10" fillId="0" borderId="54" xfId="1" applyFont="1" applyBorder="1" applyAlignment="1">
      <alignment vertical="center"/>
    </xf>
    <xf numFmtId="0" fontId="1" fillId="0" borderId="1" xfId="5" applyBorder="1"/>
    <xf numFmtId="0" fontId="27" fillId="0" borderId="15" xfId="5" applyFont="1" applyBorder="1" applyAlignment="1">
      <alignment horizontal="center" vertical="center" wrapText="1"/>
    </xf>
    <xf numFmtId="0" fontId="1" fillId="0" borderId="55" xfId="5" applyBorder="1" applyAlignment="1">
      <alignment vertical="center"/>
    </xf>
    <xf numFmtId="0" fontId="10" fillId="0" borderId="15" xfId="5" applyFont="1" applyBorder="1" applyAlignment="1">
      <alignment vertical="center"/>
    </xf>
    <xf numFmtId="0" fontId="10" fillId="0" borderId="15" xfId="5" applyFont="1" applyBorder="1" applyAlignment="1">
      <alignment horizontal="right" vertical="center"/>
    </xf>
    <xf numFmtId="0" fontId="10" fillId="0" borderId="45" xfId="5" applyFont="1" applyBorder="1" applyAlignment="1">
      <alignment horizontal="right" vertical="center"/>
    </xf>
    <xf numFmtId="0" fontId="10" fillId="0" borderId="51" xfId="5" applyFont="1" applyBorder="1" applyAlignment="1">
      <alignment horizontal="right" vertical="center"/>
    </xf>
    <xf numFmtId="0" fontId="42" fillId="0" borderId="0" xfId="5" applyFont="1"/>
    <xf numFmtId="0" fontId="35" fillId="0" borderId="29" xfId="5" applyFont="1" applyBorder="1" applyAlignment="1">
      <alignment horizontal="left" vertical="center"/>
    </xf>
    <xf numFmtId="0" fontId="37" fillId="0" borderId="29" xfId="5" applyFont="1" applyBorder="1" applyAlignment="1">
      <alignment horizontal="left" vertical="center"/>
    </xf>
    <xf numFmtId="0" fontId="37" fillId="0" borderId="29" xfId="5" applyFont="1" applyBorder="1" applyAlignment="1">
      <alignment horizontal="left" vertical="center" shrinkToFit="1"/>
    </xf>
    <xf numFmtId="58" fontId="1" fillId="0" borderId="0" xfId="5" applyNumberFormat="1" applyFont="1" applyAlignment="1">
      <alignment horizontal="center" shrinkToFit="1"/>
    </xf>
    <xf numFmtId="0" fontId="1" fillId="0" borderId="0" xfId="5" applyFont="1" applyAlignment="1">
      <alignment wrapText="1"/>
    </xf>
    <xf numFmtId="0" fontId="16" fillId="0" borderId="0" xfId="5" applyFont="1" applyAlignment="1">
      <alignment vertical="center"/>
    </xf>
    <xf numFmtId="0" fontId="32" fillId="0" borderId="0" xfId="5" applyFont="1" applyAlignment="1">
      <alignment vertical="center" wrapText="1"/>
    </xf>
    <xf numFmtId="3" fontId="1" fillId="0" borderId="0" xfId="5" applyNumberFormat="1" applyAlignment="1">
      <alignment vertical="center"/>
    </xf>
    <xf numFmtId="3" fontId="16" fillId="0" borderId="0" xfId="5" applyNumberFormat="1" applyFont="1" applyAlignment="1">
      <alignment vertical="center"/>
    </xf>
    <xf numFmtId="0" fontId="34" fillId="0" borderId="0" xfId="5" applyFont="1" applyAlignment="1">
      <alignment vertical="center"/>
    </xf>
    <xf numFmtId="0" fontId="43" fillId="0" borderId="0" xfId="5" applyFont="1"/>
    <xf numFmtId="0" fontId="44" fillId="5" borderId="0" xfId="15" applyFont="1" applyFill="1" applyAlignment="1">
      <alignment horizontal="center" vertical="center"/>
    </xf>
    <xf numFmtId="49" fontId="45" fillId="0" borderId="17" xfId="17" applyNumberFormat="1" applyFont="1" applyBorder="1" applyAlignment="1">
      <alignment horizontal="center" vertical="center"/>
    </xf>
    <xf numFmtId="57" fontId="43" fillId="0" borderId="51" xfId="5" applyNumberFormat="1" applyFont="1" applyBorder="1" applyAlignment="1">
      <alignment horizontal="right" vertical="center"/>
    </xf>
    <xf numFmtId="57" fontId="43" fillId="0" borderId="15" xfId="5" applyNumberFormat="1" applyFont="1" applyBorder="1" applyAlignment="1">
      <alignment horizontal="right" vertical="center"/>
    </xf>
    <xf numFmtId="49" fontId="43" fillId="0" borderId="52" xfId="5" applyNumberFormat="1" applyFont="1" applyBorder="1" applyAlignment="1">
      <alignment horizontal="center" vertical="center"/>
    </xf>
    <xf numFmtId="0" fontId="46" fillId="0" borderId="0" xfId="5" applyFont="1" applyAlignment="1">
      <alignment horizontal="left" vertical="center"/>
    </xf>
    <xf numFmtId="0" fontId="33" fillId="0" borderId="0" xfId="5" applyFont="1" applyAlignment="1">
      <alignment vertical="center"/>
    </xf>
    <xf numFmtId="49" fontId="43" fillId="0" borderId="0" xfId="5" applyNumberFormat="1" applyFont="1"/>
    <xf numFmtId="0" fontId="45" fillId="0" borderId="53" xfId="5" applyFont="1" applyBorder="1" applyAlignment="1">
      <alignment horizontal="center" vertical="center" wrapText="1"/>
    </xf>
    <xf numFmtId="0" fontId="45" fillId="0" borderId="15" xfId="5" applyFont="1" applyBorder="1" applyAlignment="1">
      <alignment vertical="center"/>
    </xf>
    <xf numFmtId="0" fontId="43" fillId="0" borderId="51" xfId="5" applyFont="1" applyBorder="1" applyAlignment="1">
      <alignment vertical="center"/>
    </xf>
    <xf numFmtId="0" fontId="43" fillId="0" borderId="15" xfId="5" applyFont="1" applyBorder="1" applyAlignment="1">
      <alignment horizontal="left" vertical="center"/>
    </xf>
    <xf numFmtId="0" fontId="43" fillId="0" borderId="17" xfId="5" applyFont="1" applyBorder="1" applyAlignment="1">
      <alignment horizontal="left" vertical="center"/>
    </xf>
    <xf numFmtId="0" fontId="43" fillId="0" borderId="17" xfId="5" applyFont="1" applyBorder="1" applyAlignment="1">
      <alignment horizontal="left" vertical="center" wrapText="1"/>
    </xf>
    <xf numFmtId="0" fontId="43" fillId="0" borderId="51" xfId="5" applyFont="1" applyBorder="1" applyAlignment="1">
      <alignment horizontal="left" vertical="center"/>
    </xf>
    <xf numFmtId="0" fontId="43" fillId="0" borderId="54" xfId="5" applyFont="1" applyBorder="1" applyAlignment="1">
      <alignment vertical="center"/>
    </xf>
    <xf numFmtId="0" fontId="47" fillId="0" borderId="17" xfId="5" applyFont="1" applyBorder="1" applyAlignment="1">
      <alignment horizontal="center"/>
    </xf>
    <xf numFmtId="0" fontId="47" fillId="0" borderId="17" xfId="5" applyFont="1" applyBorder="1" applyAlignment="1">
      <alignment horizontal="center" vertical="center" wrapText="1"/>
    </xf>
    <xf numFmtId="0" fontId="45" fillId="0" borderId="17" xfId="0" applyFont="1" applyBorder="1" applyAlignment="1">
      <alignment horizontal="center" vertical="center" wrapText="1"/>
    </xf>
    <xf numFmtId="0" fontId="45" fillId="0" borderId="17" xfId="0" applyFont="1" applyBorder="1" applyAlignment="1">
      <alignment horizontal="center" vertical="center"/>
    </xf>
    <xf numFmtId="38" fontId="0" fillId="0" borderId="55" xfId="1" applyFont="1" applyBorder="1" applyAlignment="1">
      <alignment vertical="center"/>
    </xf>
    <xf numFmtId="38" fontId="43" fillId="0" borderId="15" xfId="1" applyFont="1" applyBorder="1" applyAlignment="1">
      <alignment vertical="center"/>
    </xf>
    <xf numFmtId="38" fontId="43" fillId="0" borderId="17" xfId="1" applyFont="1" applyBorder="1" applyAlignment="1">
      <alignment vertical="center"/>
    </xf>
    <xf numFmtId="38" fontId="43" fillId="0" borderId="53" xfId="1" applyFont="1" applyBorder="1" applyAlignment="1">
      <alignment vertical="center"/>
    </xf>
    <xf numFmtId="38" fontId="43" fillId="0" borderId="51" xfId="1" applyFont="1" applyBorder="1" applyAlignment="1">
      <alignment vertical="center"/>
    </xf>
    <xf numFmtId="3" fontId="43" fillId="0" borderId="56" xfId="1" applyNumberFormat="1" applyFont="1" applyBorder="1" applyAlignment="1">
      <alignment vertical="center"/>
    </xf>
    <xf numFmtId="0" fontId="47" fillId="0" borderId="17" xfId="5" applyFont="1" applyBorder="1" applyAlignment="1">
      <alignment horizontal="center" vertical="center"/>
    </xf>
    <xf numFmtId="0" fontId="48" fillId="0" borderId="17" xfId="5" applyFont="1" applyBorder="1" applyAlignment="1">
      <alignment horizontal="left" vertical="center" shrinkToFit="1"/>
    </xf>
    <xf numFmtId="0" fontId="49" fillId="0" borderId="0" xfId="5" applyFont="1" applyAlignment="1">
      <alignment vertical="top"/>
    </xf>
    <xf numFmtId="0" fontId="50" fillId="0" borderId="24" xfId="5" applyFont="1" applyBorder="1" applyAlignment="1">
      <alignment horizontal="center" vertical="center"/>
    </xf>
    <xf numFmtId="0" fontId="45" fillId="0" borderId="24" xfId="5" applyFont="1" applyBorder="1" applyAlignment="1">
      <alignment horizontal="center" vertical="center" wrapText="1"/>
    </xf>
    <xf numFmtId="38" fontId="0" fillId="0" borderId="57" xfId="1" applyFont="1" applyBorder="1" applyAlignment="1">
      <alignment vertical="center"/>
    </xf>
    <xf numFmtId="3" fontId="43" fillId="0" borderId="23" xfId="1" applyNumberFormat="1" applyFont="1" applyBorder="1" applyAlignment="1">
      <alignment vertical="center"/>
    </xf>
    <xf numFmtId="3" fontId="43" fillId="0" borderId="41" xfId="1" applyNumberFormat="1" applyFont="1" applyBorder="1" applyAlignment="1">
      <alignment vertical="center"/>
    </xf>
    <xf numFmtId="3" fontId="43" fillId="0" borderId="58" xfId="1" applyNumberFormat="1" applyFont="1" applyBorder="1" applyAlignment="1">
      <alignment vertical="center"/>
    </xf>
    <xf numFmtId="0" fontId="33" fillId="0" borderId="0" xfId="5" applyFont="1"/>
    <xf numFmtId="0" fontId="50" fillId="0" borderId="28" xfId="5" applyFont="1" applyBorder="1" applyAlignment="1">
      <alignment horizontal="center" vertical="center"/>
    </xf>
    <xf numFmtId="3" fontId="43" fillId="0" borderId="15" xfId="1" applyNumberFormat="1" applyFont="1" applyBorder="1" applyAlignment="1">
      <alignment vertical="center"/>
    </xf>
    <xf numFmtId="3" fontId="43" fillId="0" borderId="45" xfId="1" applyNumberFormat="1" applyFont="1" applyBorder="1" applyAlignment="1">
      <alignment vertical="center"/>
    </xf>
    <xf numFmtId="3" fontId="43" fillId="0" borderId="51" xfId="1" applyNumberFormat="1" applyFont="1" applyBorder="1" applyAlignment="1">
      <alignment vertical="center"/>
    </xf>
    <xf numFmtId="0" fontId="48" fillId="0" borderId="17" xfId="5" applyFont="1" applyBorder="1" applyAlignment="1">
      <alignment horizontal="left" vertical="center"/>
    </xf>
    <xf numFmtId="0" fontId="51" fillId="0" borderId="0" xfId="5" applyFont="1" applyAlignment="1">
      <alignment horizontal="center" vertical="top"/>
    </xf>
    <xf numFmtId="0" fontId="47" fillId="0" borderId="24" xfId="5" applyFont="1" applyBorder="1" applyAlignment="1">
      <alignment horizontal="left" vertical="center"/>
    </xf>
    <xf numFmtId="0" fontId="48" fillId="0" borderId="24" xfId="5" applyFont="1" applyBorder="1" applyAlignment="1">
      <alignment horizontal="left" vertical="center"/>
    </xf>
    <xf numFmtId="0" fontId="48" fillId="0" borderId="24" xfId="5" applyFont="1" applyBorder="1" applyAlignment="1">
      <alignment horizontal="left" vertical="center" shrinkToFit="1"/>
    </xf>
    <xf numFmtId="0" fontId="47" fillId="0" borderId="28" xfId="5" applyFont="1" applyBorder="1" applyAlignment="1">
      <alignment horizontal="left" vertical="center"/>
    </xf>
    <xf numFmtId="0" fontId="48" fillId="0" borderId="28" xfId="5" applyFont="1" applyBorder="1" applyAlignment="1">
      <alignment horizontal="left" vertical="center"/>
    </xf>
    <xf numFmtId="0" fontId="48" fillId="0" borderId="28" xfId="5" applyFont="1" applyBorder="1" applyAlignment="1">
      <alignment horizontal="left" vertical="center" shrinkToFit="1"/>
    </xf>
    <xf numFmtId="49" fontId="45" fillId="0" borderId="1" xfId="5" applyNumberFormat="1" applyFont="1" applyBorder="1" applyAlignment="1">
      <alignment horizontal="left"/>
    </xf>
    <xf numFmtId="38" fontId="0" fillId="0" borderId="59" xfId="1" applyFont="1" applyBorder="1" applyAlignment="1">
      <alignment vertical="center"/>
    </xf>
    <xf numFmtId="3" fontId="43" fillId="0" borderId="47" xfId="1" applyNumberFormat="1" applyFont="1" applyBorder="1" applyAlignment="1">
      <alignment vertical="center"/>
    </xf>
    <xf numFmtId="3" fontId="43" fillId="0" borderId="44" xfId="1" applyNumberFormat="1" applyFont="1" applyBorder="1" applyAlignment="1">
      <alignment vertical="center"/>
    </xf>
    <xf numFmtId="3" fontId="43" fillId="0" borderId="60" xfId="1" applyNumberFormat="1" applyFont="1" applyBorder="1" applyAlignment="1">
      <alignment vertical="center"/>
    </xf>
    <xf numFmtId="49" fontId="45" fillId="0" borderId="0" xfId="5" applyNumberFormat="1" applyFont="1" applyAlignment="1">
      <alignment horizontal="center"/>
    </xf>
    <xf numFmtId="0" fontId="34" fillId="0" borderId="1" xfId="5" applyFont="1" applyBorder="1" applyAlignment="1">
      <alignment horizontal="right" vertical="center" wrapText="1" shrinkToFit="1"/>
    </xf>
    <xf numFmtId="0" fontId="34" fillId="0" borderId="0" xfId="5" applyFont="1" applyAlignment="1">
      <alignment horizontal="center"/>
    </xf>
    <xf numFmtId="0" fontId="45" fillId="0" borderId="15" xfId="5" applyFont="1" applyBorder="1" applyAlignment="1">
      <alignment horizontal="center" vertical="center"/>
    </xf>
    <xf numFmtId="38" fontId="52" fillId="0" borderId="51" xfId="1" applyFont="1" applyBorder="1" applyAlignment="1">
      <alignment vertical="center"/>
    </xf>
    <xf numFmtId="38" fontId="43" fillId="0" borderId="54" xfId="1" applyFont="1" applyBorder="1" applyAlignment="1">
      <alignment vertical="center"/>
    </xf>
    <xf numFmtId="0" fontId="34" fillId="0" borderId="1" xfId="5" applyFont="1" applyBorder="1"/>
    <xf numFmtId="0" fontId="45" fillId="0" borderId="15" xfId="5" applyFont="1" applyBorder="1" applyAlignment="1">
      <alignment horizontal="center" vertical="center" wrapText="1"/>
    </xf>
    <xf numFmtId="0" fontId="34" fillId="0" borderId="55" xfId="5" applyFont="1" applyBorder="1" applyAlignment="1">
      <alignment vertical="center"/>
    </xf>
    <xf numFmtId="0" fontId="43" fillId="0" borderId="15" xfId="5" applyFont="1" applyBorder="1" applyAlignment="1">
      <alignment vertical="center"/>
    </xf>
    <xf numFmtId="0" fontId="43" fillId="0" borderId="15" xfId="5" applyFont="1" applyBorder="1" applyAlignment="1">
      <alignment horizontal="right" vertical="center"/>
    </xf>
    <xf numFmtId="0" fontId="43" fillId="0" borderId="45" xfId="5" applyFont="1" applyBorder="1" applyAlignment="1">
      <alignment horizontal="right" vertical="center"/>
    </xf>
    <xf numFmtId="0" fontId="43" fillId="0" borderId="51" xfId="5" applyFont="1" applyBorder="1" applyAlignment="1">
      <alignment horizontal="right" vertical="center"/>
    </xf>
    <xf numFmtId="0" fontId="47" fillId="0" borderId="29" xfId="5" applyFont="1" applyBorder="1" applyAlignment="1">
      <alignment horizontal="left" vertical="center"/>
    </xf>
    <xf numFmtId="0" fontId="48" fillId="0" borderId="29" xfId="5" applyFont="1" applyBorder="1" applyAlignment="1">
      <alignment horizontal="left" vertical="center"/>
    </xf>
    <xf numFmtId="0" fontId="48" fillId="0" borderId="29" xfId="5" applyFont="1" applyBorder="1" applyAlignment="1">
      <alignment horizontal="left" vertical="center" shrinkToFit="1"/>
    </xf>
    <xf numFmtId="58" fontId="34" fillId="0" borderId="0" xfId="5" applyNumberFormat="1" applyFont="1" applyAlignment="1">
      <alignment horizontal="center" shrinkToFit="1"/>
    </xf>
    <xf numFmtId="0" fontId="34" fillId="0" borderId="0" xfId="5" applyFont="1" applyAlignment="1">
      <alignment wrapText="1"/>
    </xf>
    <xf numFmtId="0" fontId="34" fillId="0" borderId="0" xfId="5" applyFont="1" applyAlignment="1">
      <alignment horizontal="left" vertical="center"/>
    </xf>
    <xf numFmtId="0" fontId="33" fillId="0" borderId="0" xfId="5" applyFont="1" applyAlignment="1">
      <alignment vertical="center" wrapText="1"/>
    </xf>
    <xf numFmtId="3" fontId="34" fillId="0" borderId="0" xfId="5" applyNumberFormat="1" applyFont="1" applyAlignment="1">
      <alignment vertical="center"/>
    </xf>
    <xf numFmtId="0" fontId="13" fillId="0" borderId="0" xfId="5" applyFont="1"/>
    <xf numFmtId="0" fontId="53" fillId="0" borderId="0" xfId="6" applyFont="1" applyFill="1" applyAlignment="1">
      <alignment vertical="top"/>
    </xf>
    <xf numFmtId="0" fontId="53" fillId="0" borderId="0" xfId="5" applyFont="1" applyAlignment="1">
      <alignment horizontal="left"/>
    </xf>
    <xf numFmtId="0" fontId="8" fillId="0" borderId="9" xfId="5" applyFont="1" applyBorder="1" applyAlignment="1">
      <alignment horizontal="center" wrapText="1"/>
    </xf>
    <xf numFmtId="0" fontId="8" fillId="0" borderId="38" xfId="5" applyFont="1" applyBorder="1" applyAlignment="1">
      <alignment horizontal="center" wrapText="1"/>
    </xf>
    <xf numFmtId="0" fontId="8" fillId="0" borderId="10" xfId="5" applyFont="1" applyBorder="1" applyAlignment="1">
      <alignment horizontal="center" wrapText="1"/>
    </xf>
    <xf numFmtId="0" fontId="8" fillId="0" borderId="2" xfId="5" applyFont="1" applyBorder="1" applyAlignment="1">
      <alignment horizontal="right" vertical="center"/>
    </xf>
    <xf numFmtId="0" fontId="1" fillId="0" borderId="3" xfId="5" applyBorder="1"/>
    <xf numFmtId="0" fontId="1" fillId="0" borderId="6" xfId="5" applyBorder="1"/>
    <xf numFmtId="0" fontId="1" fillId="0" borderId="4" xfId="5" applyBorder="1"/>
    <xf numFmtId="0" fontId="8" fillId="0" borderId="61" xfId="5" applyFont="1" applyBorder="1"/>
    <xf numFmtId="0" fontId="8" fillId="0" borderId="62" xfId="5" applyFont="1" applyBorder="1" applyAlignment="1">
      <alignment horizontal="center"/>
    </xf>
    <xf numFmtId="0" fontId="8" fillId="0" borderId="62" xfId="5" applyFont="1" applyBorder="1"/>
    <xf numFmtId="0" fontId="8" fillId="0" borderId="63" xfId="5" applyFont="1" applyBorder="1"/>
    <xf numFmtId="0" fontId="8" fillId="0" borderId="30" xfId="5" applyFont="1" applyBorder="1" applyAlignment="1">
      <alignment horizontal="right" vertical="center"/>
    </xf>
    <xf numFmtId="180" fontId="1" fillId="0" borderId="15" xfId="5" applyNumberFormat="1" applyBorder="1" applyAlignment="1">
      <alignment horizontal="center"/>
    </xf>
    <xf numFmtId="180" fontId="1" fillId="0" borderId="17" xfId="5" applyNumberFormat="1" applyBorder="1" applyAlignment="1">
      <alignment horizontal="center"/>
    </xf>
    <xf numFmtId="180" fontId="1" fillId="0" borderId="16" xfId="5" applyNumberFormat="1" applyBorder="1" applyAlignment="1">
      <alignment horizontal="center"/>
    </xf>
    <xf numFmtId="0" fontId="54" fillId="0" borderId="0" xfId="5" applyFont="1"/>
    <xf numFmtId="0" fontId="8" fillId="0" borderId="64" xfId="5" applyFont="1" applyBorder="1" applyAlignment="1">
      <alignment horizontal="center"/>
    </xf>
    <xf numFmtId="0" fontId="13" fillId="0" borderId="65" xfId="5" applyFont="1" applyBorder="1"/>
    <xf numFmtId="0" fontId="13" fillId="0" borderId="38" xfId="5" applyFont="1" applyBorder="1" applyAlignment="1">
      <alignment horizontal="center"/>
    </xf>
    <xf numFmtId="38" fontId="0" fillId="0" borderId="66" xfId="1" applyFont="1" applyFill="1" applyBorder="1">
      <alignment vertical="center"/>
    </xf>
    <xf numFmtId="38" fontId="10" fillId="0" borderId="15" xfId="1" applyFont="1" applyBorder="1">
      <alignment vertical="center"/>
    </xf>
    <xf numFmtId="38" fontId="10" fillId="0" borderId="17" xfId="1" applyFont="1" applyBorder="1">
      <alignment vertical="center"/>
    </xf>
    <xf numFmtId="38" fontId="10" fillId="0" borderId="16" xfId="1" applyFont="1" applyBorder="1">
      <alignment vertical="center"/>
    </xf>
    <xf numFmtId="0" fontId="55" fillId="0" borderId="0" xfId="5" applyFont="1"/>
    <xf numFmtId="0" fontId="8" fillId="0" borderId="27" xfId="5" applyFont="1" applyBorder="1" applyAlignment="1">
      <alignment horizontal="center"/>
    </xf>
    <xf numFmtId="0" fontId="13" fillId="0" borderId="53" xfId="5" applyFont="1" applyBorder="1"/>
    <xf numFmtId="0" fontId="13" fillId="0" borderId="45" xfId="5" applyFont="1" applyBorder="1" applyAlignment="1">
      <alignment horizontal="center"/>
    </xf>
    <xf numFmtId="38" fontId="0" fillId="0" borderId="37" xfId="1" applyFont="1" applyFill="1" applyBorder="1">
      <alignment vertical="center"/>
    </xf>
    <xf numFmtId="38" fontId="1" fillId="0" borderId="45" xfId="1" applyFill="1" applyBorder="1">
      <alignment vertical="center"/>
    </xf>
    <xf numFmtId="38" fontId="1" fillId="0" borderId="17" xfId="1" applyFill="1" applyBorder="1">
      <alignment vertical="center"/>
    </xf>
    <xf numFmtId="38" fontId="1" fillId="0" borderId="16" xfId="1" applyFill="1" applyBorder="1">
      <alignment vertical="center"/>
    </xf>
    <xf numFmtId="0" fontId="1" fillId="0" borderId="1" xfId="5" applyFill="1" applyBorder="1" applyAlignment="1">
      <alignment horizontal="left"/>
    </xf>
    <xf numFmtId="0" fontId="8" fillId="0" borderId="33" xfId="5" applyFont="1" applyBorder="1" applyAlignment="1">
      <alignment horizontal="center"/>
    </xf>
    <xf numFmtId="0" fontId="13" fillId="0" borderId="67" xfId="5" applyFont="1" applyBorder="1"/>
    <xf numFmtId="0" fontId="13" fillId="0" borderId="68" xfId="5" applyFont="1" applyBorder="1" applyAlignment="1">
      <alignment horizontal="center"/>
    </xf>
    <xf numFmtId="38" fontId="0" fillId="0" borderId="15" xfId="1" applyFont="1" applyFill="1" applyBorder="1">
      <alignment vertical="center"/>
    </xf>
    <xf numFmtId="38" fontId="0" fillId="0" borderId="17" xfId="1" applyFont="1" applyFill="1" applyBorder="1">
      <alignment vertical="center"/>
    </xf>
    <xf numFmtId="38" fontId="0" fillId="0" borderId="16" xfId="1" applyFont="1" applyFill="1" applyBorder="1">
      <alignment vertical="center"/>
    </xf>
    <xf numFmtId="0" fontId="8" fillId="0" borderId="69" xfId="5" applyFont="1" applyBorder="1" applyAlignment="1">
      <alignment horizontal="center"/>
    </xf>
    <xf numFmtId="0" fontId="13" fillId="0" borderId="44" xfId="5" applyFont="1" applyBorder="1"/>
    <xf numFmtId="0" fontId="13" fillId="0" borderId="44" xfId="5" applyFont="1" applyBorder="1" applyAlignment="1">
      <alignment horizontal="center"/>
    </xf>
    <xf numFmtId="38" fontId="1" fillId="0" borderId="22" xfId="1" applyFill="1" applyBorder="1">
      <alignment vertical="center"/>
    </xf>
    <xf numFmtId="0" fontId="27" fillId="0" borderId="0" xfId="5" applyFont="1" applyAlignment="1">
      <alignment horizontal="right"/>
    </xf>
    <xf numFmtId="0" fontId="13" fillId="0" borderId="45" xfId="5" applyFont="1" applyBorder="1"/>
    <xf numFmtId="38" fontId="1" fillId="2" borderId="45" xfId="1" applyFont="1" applyFill="1" applyBorder="1" applyProtection="1">
      <alignment vertical="center"/>
      <protection locked="0"/>
    </xf>
    <xf numFmtId="38" fontId="1" fillId="2" borderId="17" xfId="1" applyFont="1" applyFill="1" applyBorder="1" applyProtection="1">
      <alignment vertical="center"/>
      <protection locked="0"/>
    </xf>
    <xf numFmtId="38" fontId="1" fillId="2" borderId="16" xfId="1" applyFont="1" applyFill="1" applyBorder="1" applyProtection="1">
      <alignment vertical="center"/>
      <protection locked="0"/>
    </xf>
    <xf numFmtId="0" fontId="1" fillId="0" borderId="1" xfId="5" applyFill="1" applyBorder="1" applyAlignment="1">
      <alignment horizontal="center"/>
    </xf>
    <xf numFmtId="0" fontId="13" fillId="0" borderId="41" xfId="5" applyFont="1" applyBorder="1"/>
    <xf numFmtId="0" fontId="13" fillId="0" borderId="41" xfId="5" applyFont="1" applyBorder="1" applyAlignment="1">
      <alignment horizontal="center"/>
    </xf>
    <xf numFmtId="38" fontId="0" fillId="0" borderId="23" xfId="1" applyFont="1" applyFill="1" applyBorder="1">
      <alignment vertical="center"/>
    </xf>
    <xf numFmtId="38" fontId="0" fillId="0" borderId="24" xfId="1" applyFont="1" applyFill="1" applyBorder="1">
      <alignment vertical="center"/>
    </xf>
    <xf numFmtId="38" fontId="0" fillId="0" borderId="21" xfId="1" applyFont="1" applyFill="1" applyBorder="1">
      <alignment vertical="center"/>
    </xf>
    <xf numFmtId="0" fontId="13" fillId="0" borderId="70" xfId="5" applyFont="1" applyBorder="1"/>
    <xf numFmtId="0" fontId="13" fillId="0" borderId="70" xfId="5" applyFont="1" applyBorder="1" applyAlignment="1">
      <alignment horizontal="center"/>
    </xf>
    <xf numFmtId="38" fontId="1" fillId="3" borderId="15" xfId="1" applyFont="1" applyFill="1" applyBorder="1" applyProtection="1">
      <alignment vertical="center"/>
      <protection locked="0"/>
    </xf>
    <xf numFmtId="38" fontId="1" fillId="3" borderId="17" xfId="1" applyFont="1" applyFill="1" applyBorder="1" applyProtection="1">
      <alignment vertical="center"/>
      <protection locked="0"/>
    </xf>
    <xf numFmtId="38" fontId="1" fillId="3" borderId="16" xfId="1" applyFont="1" applyFill="1" applyBorder="1" applyProtection="1">
      <alignment vertical="center"/>
      <protection locked="0"/>
    </xf>
    <xf numFmtId="38" fontId="0" fillId="0" borderId="0" xfId="1" applyFont="1" applyFill="1" applyBorder="1">
      <alignment vertical="center"/>
    </xf>
    <xf numFmtId="0" fontId="1" fillId="0" borderId="0" xfId="5" applyFill="1" applyAlignment="1">
      <alignment horizontal="right"/>
    </xf>
    <xf numFmtId="0" fontId="8" fillId="0" borderId="71" xfId="5" applyFont="1" applyBorder="1" applyAlignment="1">
      <alignment horizontal="center"/>
    </xf>
    <xf numFmtId="0" fontId="8" fillId="0" borderId="72" xfId="5" applyFont="1" applyBorder="1" applyAlignment="1">
      <alignment horizontal="center"/>
    </xf>
    <xf numFmtId="0" fontId="8" fillId="0" borderId="72" xfId="5" applyFont="1" applyBorder="1"/>
    <xf numFmtId="0" fontId="8" fillId="0" borderId="73" xfId="5" applyFont="1" applyBorder="1" applyAlignment="1">
      <alignment horizontal="center"/>
    </xf>
    <xf numFmtId="38" fontId="0" fillId="0" borderId="68" xfId="1" applyFont="1" applyFill="1" applyBorder="1">
      <alignment vertical="center"/>
    </xf>
    <xf numFmtId="38" fontId="0" fillId="0" borderId="35" xfId="1" applyFont="1" applyFill="1" applyBorder="1">
      <alignment vertical="center"/>
    </xf>
    <xf numFmtId="38" fontId="0" fillId="0" borderId="32" xfId="1" applyFont="1" applyFill="1" applyBorder="1">
      <alignment vertical="center"/>
    </xf>
    <xf numFmtId="0" fontId="53" fillId="0" borderId="0" xfId="5" applyFont="1"/>
    <xf numFmtId="0" fontId="1" fillId="0" borderId="74" xfId="5" applyBorder="1"/>
    <xf numFmtId="0" fontId="8" fillId="0" borderId="41" xfId="5" applyFont="1" applyBorder="1" applyAlignment="1">
      <alignment horizontal="center"/>
    </xf>
    <xf numFmtId="0" fontId="8" fillId="0" borderId="23" xfId="5" applyFont="1" applyBorder="1" applyAlignment="1">
      <alignment horizontal="center"/>
    </xf>
    <xf numFmtId="0" fontId="1" fillId="0" borderId="75" xfId="5" applyBorder="1"/>
    <xf numFmtId="0" fontId="1" fillId="0" borderId="53" xfId="5" applyBorder="1"/>
    <xf numFmtId="0" fontId="8" fillId="0" borderId="45" xfId="5" applyFont="1" applyBorder="1" applyAlignment="1">
      <alignment horizontal="center"/>
    </xf>
    <xf numFmtId="0" fontId="8" fillId="0" borderId="15" xfId="5" applyFont="1" applyBorder="1" applyAlignment="1">
      <alignment horizontal="center"/>
    </xf>
    <xf numFmtId="0" fontId="1" fillId="0" borderId="15" xfId="5" applyBorder="1"/>
    <xf numFmtId="181" fontId="10" fillId="0" borderId="0" xfId="5" applyNumberFormat="1" applyFont="1" applyAlignment="1">
      <alignment horizontal="center"/>
    </xf>
    <xf numFmtId="180" fontId="10" fillId="0" borderId="0" xfId="5" applyNumberFormat="1" applyFont="1"/>
    <xf numFmtId="0" fontId="1" fillId="0" borderId="76" xfId="5" applyBorder="1"/>
    <xf numFmtId="0" fontId="1" fillId="0" borderId="74" xfId="5" applyBorder="1" applyAlignment="1">
      <alignment horizontal="center"/>
    </xf>
    <xf numFmtId="0" fontId="13" fillId="0" borderId="23" xfId="5" applyFont="1" applyBorder="1" applyAlignment="1">
      <alignment horizontal="center"/>
    </xf>
    <xf numFmtId="0" fontId="10" fillId="0" borderId="0" xfId="5" applyFont="1" applyAlignment="1">
      <alignment horizontal="right" shrinkToFit="1"/>
    </xf>
    <xf numFmtId="0" fontId="1" fillId="0" borderId="77" xfId="5" applyBorder="1"/>
    <xf numFmtId="0" fontId="1" fillId="0" borderId="53" xfId="5" applyBorder="1" applyAlignment="1">
      <alignment horizontal="center"/>
    </xf>
    <xf numFmtId="0" fontId="13" fillId="0" borderId="15" xfId="5" applyFont="1" applyBorder="1" applyAlignment="1">
      <alignment horizontal="center"/>
    </xf>
    <xf numFmtId="0" fontId="8" fillId="0" borderId="1" xfId="5" applyFont="1" applyBorder="1" applyAlignment="1">
      <alignment horizontal="center"/>
    </xf>
    <xf numFmtId="0" fontId="8" fillId="0" borderId="0" xfId="5" applyFont="1" applyAlignment="1">
      <alignment horizontal="center"/>
    </xf>
    <xf numFmtId="0" fontId="10" fillId="0" borderId="0" xfId="5" applyFont="1" applyFill="1" applyAlignment="1" applyProtection="1">
      <alignment horizontal="center"/>
      <protection locked="0"/>
    </xf>
    <xf numFmtId="0" fontId="1" fillId="0" borderId="23" xfId="5" applyBorder="1"/>
    <xf numFmtId="0" fontId="1" fillId="0" borderId="0" xfId="5" applyAlignment="1">
      <alignment shrinkToFit="1"/>
    </xf>
    <xf numFmtId="0" fontId="8" fillId="0" borderId="53" xfId="5" applyFont="1" applyBorder="1" applyAlignment="1">
      <alignment horizontal="center"/>
    </xf>
    <xf numFmtId="0" fontId="10" fillId="0" borderId="0" xfId="5" applyFont="1" applyAlignment="1">
      <alignment horizontal="center"/>
    </xf>
    <xf numFmtId="0" fontId="39" fillId="0" borderId="0" xfId="12" applyFont="1">
      <alignment vertical="center"/>
    </xf>
    <xf numFmtId="0" fontId="27" fillId="0" borderId="0" xfId="12" applyFont="1">
      <alignment vertical="center"/>
    </xf>
    <xf numFmtId="0" fontId="27" fillId="0" borderId="0" xfId="12" applyFont="1" applyAlignment="1">
      <alignment horizontal="center" vertical="center"/>
    </xf>
    <xf numFmtId="38" fontId="39" fillId="0" borderId="0" xfId="3" applyFont="1">
      <alignment vertical="center"/>
    </xf>
    <xf numFmtId="182" fontId="56" fillId="0" borderId="0" xfId="9" applyNumberFormat="1" applyFont="1" applyAlignment="1">
      <alignment horizontal="center" vertical="center"/>
    </xf>
    <xf numFmtId="0" fontId="56" fillId="0" borderId="0" xfId="9" applyFont="1" applyAlignment="1">
      <alignment horizontal="center" vertical="center"/>
    </xf>
    <xf numFmtId="0" fontId="57" fillId="0" borderId="0" xfId="9" applyFont="1">
      <alignment vertical="center"/>
    </xf>
    <xf numFmtId="0" fontId="27" fillId="0" borderId="78" xfId="9" applyFont="1" applyBorder="1">
      <alignment vertical="center"/>
    </xf>
    <xf numFmtId="0" fontId="27" fillId="0" borderId="79" xfId="9" applyFont="1" applyBorder="1">
      <alignment vertical="center"/>
    </xf>
    <xf numFmtId="0" fontId="27" fillId="0" borderId="80" xfId="9" applyFont="1" applyBorder="1">
      <alignment vertical="center"/>
    </xf>
    <xf numFmtId="0" fontId="55" fillId="0" borderId="0" xfId="9" applyFont="1">
      <alignment vertical="center"/>
    </xf>
    <xf numFmtId="0" fontId="58" fillId="0" borderId="12" xfId="9" applyFont="1" applyBorder="1" applyAlignment="1">
      <alignment horizontal="right" vertical="center"/>
    </xf>
    <xf numFmtId="0" fontId="27" fillId="0" borderId="12" xfId="9" applyFont="1" applyBorder="1">
      <alignment vertical="center"/>
    </xf>
    <xf numFmtId="0" fontId="27" fillId="0" borderId="81" xfId="9" applyFont="1" applyBorder="1">
      <alignment vertical="center"/>
    </xf>
    <xf numFmtId="0" fontId="27" fillId="0" borderId="82" xfId="9" applyFont="1" applyBorder="1" applyAlignment="1">
      <alignment horizontal="center" vertical="center"/>
    </xf>
    <xf numFmtId="0" fontId="27" fillId="2" borderId="83" xfId="9" applyFont="1" applyFill="1" applyBorder="1" applyAlignment="1">
      <alignment vertical="center" shrinkToFit="1"/>
    </xf>
    <xf numFmtId="0" fontId="27" fillId="2" borderId="84" xfId="9" applyFont="1" applyFill="1" applyBorder="1" applyAlignment="1">
      <alignment vertical="center" shrinkToFit="1"/>
    </xf>
    <xf numFmtId="0" fontId="27" fillId="0" borderId="0" xfId="9" applyFont="1" applyAlignment="1">
      <alignment vertical="center" shrinkToFit="1"/>
    </xf>
    <xf numFmtId="0" fontId="27" fillId="0" borderId="83" xfId="9" applyFont="1" applyBorder="1" applyAlignment="1">
      <alignment vertical="center" shrinkToFit="1"/>
    </xf>
    <xf numFmtId="0" fontId="27" fillId="0" borderId="85" xfId="9" applyFont="1" applyBorder="1" applyAlignment="1">
      <alignment vertical="center" shrinkToFit="1"/>
    </xf>
    <xf numFmtId="0" fontId="27" fillId="0" borderId="12" xfId="9" applyFont="1" applyBorder="1" applyAlignment="1">
      <alignment horizontal="center" vertical="center"/>
    </xf>
    <xf numFmtId="0" fontId="27" fillId="0" borderId="86" xfId="9" applyFont="1" applyBorder="1" applyAlignment="1">
      <alignment vertical="center" shrinkToFit="1"/>
    </xf>
    <xf numFmtId="0" fontId="27" fillId="0" borderId="84" xfId="9" applyFont="1" applyBorder="1" applyAlignment="1">
      <alignment vertical="center" shrinkToFit="1"/>
    </xf>
    <xf numFmtId="0" fontId="27" fillId="0" borderId="0" xfId="9" applyFont="1" applyAlignment="1">
      <alignment horizontal="left" vertical="center"/>
    </xf>
    <xf numFmtId="0" fontId="27" fillId="0" borderId="87" xfId="9" applyFont="1" applyBorder="1" applyAlignment="1">
      <alignment horizontal="center" vertical="center"/>
    </xf>
    <xf numFmtId="183" fontId="27" fillId="2" borderId="86" xfId="9" applyNumberFormat="1" applyFont="1" applyFill="1" applyBorder="1" applyAlignment="1">
      <alignment horizontal="center" vertical="center"/>
    </xf>
    <xf numFmtId="184" fontId="27" fillId="2" borderId="86" xfId="9" applyNumberFormat="1" applyFont="1" applyFill="1" applyBorder="1" applyAlignment="1">
      <alignment horizontal="center" vertical="center"/>
    </xf>
    <xf numFmtId="184" fontId="27" fillId="2" borderId="88" xfId="9" applyNumberFormat="1" applyFont="1" applyFill="1" applyBorder="1" applyAlignment="1">
      <alignment horizontal="center" vertical="center"/>
    </xf>
    <xf numFmtId="184" fontId="27" fillId="0" borderId="0" xfId="9" quotePrefix="1" applyNumberFormat="1" applyFont="1" applyAlignment="1">
      <alignment horizontal="right" vertical="center"/>
    </xf>
    <xf numFmtId="183" fontId="27" fillId="2" borderId="88" xfId="9" applyNumberFormat="1" applyFont="1" applyFill="1" applyBorder="1" applyAlignment="1">
      <alignment horizontal="center" vertical="center"/>
    </xf>
    <xf numFmtId="183" fontId="39" fillId="0" borderId="86" xfId="9" applyNumberFormat="1" applyFont="1" applyBorder="1" applyAlignment="1">
      <alignment horizontal="center" vertical="center"/>
    </xf>
    <xf numFmtId="0" fontId="27" fillId="0" borderId="0" xfId="12" applyFont="1" applyAlignment="1">
      <alignment horizontal="right" vertical="center"/>
    </xf>
    <xf numFmtId="183" fontId="27" fillId="0" borderId="86" xfId="9" applyNumberFormat="1" applyFont="1" applyBorder="1" applyAlignment="1">
      <alignment horizontal="center" vertical="center" shrinkToFit="1"/>
    </xf>
    <xf numFmtId="183" fontId="27" fillId="0" borderId="86" xfId="9" applyNumberFormat="1" applyFont="1" applyBorder="1" applyAlignment="1">
      <alignment horizontal="center" vertical="center"/>
    </xf>
    <xf numFmtId="183" fontId="27" fillId="0" borderId="88" xfId="9" applyNumberFormat="1" applyFont="1" applyBorder="1" applyAlignment="1">
      <alignment horizontal="center" vertical="center"/>
    </xf>
    <xf numFmtId="0" fontId="27" fillId="0" borderId="0" xfId="9" applyFont="1" applyBorder="1">
      <alignment vertical="center"/>
    </xf>
    <xf numFmtId="0" fontId="27" fillId="0" borderId="86" xfId="9" applyNumberFormat="1" applyFont="1" applyBorder="1" applyAlignment="1">
      <alignment horizontal="center" vertical="center" shrinkToFit="1"/>
    </xf>
    <xf numFmtId="0" fontId="27" fillId="0" borderId="86" xfId="9" applyNumberFormat="1" applyFont="1" applyBorder="1" applyAlignment="1">
      <alignment horizontal="center" vertical="center"/>
    </xf>
    <xf numFmtId="0" fontId="27" fillId="0" borderId="88" xfId="9" applyNumberFormat="1" applyFont="1" applyBorder="1" applyAlignment="1">
      <alignment horizontal="center" vertical="center"/>
    </xf>
    <xf numFmtId="0" fontId="39" fillId="0" borderId="87" xfId="9" applyFont="1" applyBorder="1" applyAlignment="1">
      <alignment horizontal="center" vertical="center"/>
    </xf>
    <xf numFmtId="0" fontId="39" fillId="2" borderId="86" xfId="9" applyFont="1" applyFill="1" applyBorder="1" applyAlignment="1">
      <alignment horizontal="center" vertical="center"/>
    </xf>
    <xf numFmtId="0" fontId="39" fillId="2" borderId="88" xfId="9" applyFont="1" applyFill="1" applyBorder="1" applyAlignment="1">
      <alignment horizontal="center" vertical="center"/>
    </xf>
    <xf numFmtId="0" fontId="39" fillId="0" borderId="0" xfId="9" applyFont="1" applyAlignment="1">
      <alignment horizontal="left" vertical="center"/>
    </xf>
    <xf numFmtId="0" fontId="27" fillId="0" borderId="89" xfId="9" applyFont="1" applyBorder="1" applyAlignment="1">
      <alignment horizontal="center" vertical="center"/>
    </xf>
    <xf numFmtId="183" fontId="39" fillId="0" borderId="90" xfId="9" applyNumberFormat="1" applyFont="1" applyBorder="1" applyAlignment="1">
      <alignment horizontal="center" vertical="center"/>
    </xf>
    <xf numFmtId="183" fontId="27" fillId="0" borderId="90" xfId="9" applyNumberFormat="1" applyFont="1" applyBorder="1" applyAlignment="1">
      <alignment horizontal="center" vertical="center" shrinkToFit="1"/>
    </xf>
    <xf numFmtId="183" fontId="27" fillId="0" borderId="90" xfId="9" applyNumberFormat="1" applyFont="1" applyBorder="1" applyAlignment="1">
      <alignment horizontal="center" vertical="center"/>
    </xf>
    <xf numFmtId="183" fontId="27" fillId="0" borderId="91" xfId="9" applyNumberFormat="1" applyFont="1" applyBorder="1" applyAlignment="1">
      <alignment horizontal="center" vertical="center"/>
    </xf>
    <xf numFmtId="0" fontId="27" fillId="0" borderId="90" xfId="9" applyNumberFormat="1" applyFont="1" applyBorder="1" applyAlignment="1">
      <alignment horizontal="center" vertical="center" shrinkToFit="1"/>
    </xf>
    <xf numFmtId="0" fontId="27" fillId="0" borderId="90" xfId="9" applyNumberFormat="1" applyFont="1" applyBorder="1" applyAlignment="1">
      <alignment horizontal="center" vertical="center"/>
    </xf>
    <xf numFmtId="0" fontId="27" fillId="0" borderId="91" xfId="9" applyNumberFormat="1" applyFont="1" applyBorder="1" applyAlignment="1">
      <alignment horizontal="center" vertical="center"/>
    </xf>
    <xf numFmtId="0" fontId="39" fillId="0" borderId="89" xfId="9" applyFont="1" applyBorder="1" applyAlignment="1">
      <alignment horizontal="center" vertical="center"/>
    </xf>
    <xf numFmtId="0" fontId="39" fillId="0" borderId="90" xfId="9" applyFont="1" applyBorder="1" applyAlignment="1">
      <alignment horizontal="center" vertical="center"/>
    </xf>
    <xf numFmtId="0" fontId="39" fillId="0" borderId="91" xfId="9" applyFont="1" applyBorder="1" applyAlignment="1">
      <alignment horizontal="center" vertical="center"/>
    </xf>
    <xf numFmtId="0" fontId="58" fillId="0" borderId="61" xfId="9" applyFont="1" applyBorder="1" applyAlignment="1">
      <alignment horizontal="right" vertical="center"/>
    </xf>
    <xf numFmtId="183" fontId="27" fillId="0" borderId="86" xfId="9" applyNumberFormat="1" applyFont="1" applyBorder="1" applyAlignment="1">
      <alignment vertical="center"/>
    </xf>
    <xf numFmtId="0" fontId="39" fillId="0" borderId="82" xfId="9" applyFont="1" applyBorder="1" applyAlignment="1">
      <alignment horizontal="center" vertical="center"/>
    </xf>
    <xf numFmtId="0" fontId="39" fillId="2" borderId="90" xfId="9" applyFont="1" applyFill="1" applyBorder="1" applyAlignment="1">
      <alignment horizontal="center" vertical="center"/>
    </xf>
    <xf numFmtId="0" fontId="39" fillId="2" borderId="91" xfId="9" applyFont="1" applyFill="1" applyBorder="1" applyAlignment="1">
      <alignment horizontal="center" vertical="center"/>
    </xf>
    <xf numFmtId="0" fontId="27" fillId="0" borderId="92" xfId="9" applyFont="1" applyBorder="1" applyAlignment="1">
      <alignment horizontal="center" vertical="center"/>
    </xf>
    <xf numFmtId="38" fontId="27" fillId="2" borderId="86" xfId="3" applyFont="1" applyFill="1" applyBorder="1" applyAlignment="1">
      <alignment vertical="center"/>
    </xf>
    <xf numFmtId="38" fontId="27" fillId="2" borderId="88" xfId="3" applyFont="1" applyFill="1" applyBorder="1" applyAlignment="1">
      <alignment vertical="center"/>
    </xf>
    <xf numFmtId="38" fontId="27" fillId="0" borderId="0" xfId="3" applyFont="1" applyFill="1" applyBorder="1" applyAlignment="1">
      <alignment vertical="center"/>
    </xf>
    <xf numFmtId="0" fontId="27" fillId="0" borderId="87" xfId="9" applyFont="1" applyBorder="1" applyAlignment="1">
      <alignment horizontal="center" vertical="center" shrinkToFit="1"/>
    </xf>
    <xf numFmtId="38" fontId="39" fillId="0" borderId="86" xfId="3" applyFont="1" applyFill="1" applyBorder="1" applyAlignment="1">
      <alignment vertical="center"/>
    </xf>
    <xf numFmtId="38" fontId="39" fillId="0" borderId="90" xfId="3" applyFont="1" applyFill="1" applyBorder="1" applyAlignment="1">
      <alignment vertical="center"/>
    </xf>
    <xf numFmtId="38" fontId="39" fillId="0" borderId="2" xfId="9" applyNumberFormat="1" applyFont="1" applyBorder="1" applyAlignment="1">
      <alignment horizontal="right" vertical="center"/>
    </xf>
    <xf numFmtId="0" fontId="39" fillId="0" borderId="0" xfId="9" applyFont="1" applyAlignment="1">
      <alignment horizontal="right" vertical="center"/>
    </xf>
    <xf numFmtId="38" fontId="27" fillId="0" borderId="90" xfId="3" applyFont="1" applyFill="1" applyBorder="1">
      <alignment vertical="center"/>
    </xf>
    <xf numFmtId="38" fontId="27" fillId="0" borderId="88" xfId="3" applyFont="1" applyFill="1" applyBorder="1">
      <alignment vertical="center"/>
    </xf>
    <xf numFmtId="38" fontId="27" fillId="0" borderId="91" xfId="3" applyFont="1" applyFill="1" applyBorder="1">
      <alignment vertical="center"/>
    </xf>
    <xf numFmtId="0" fontId="27" fillId="0" borderId="87" xfId="9" applyFont="1" applyFill="1" applyBorder="1" applyAlignment="1">
      <alignment horizontal="center" vertical="center" wrapText="1" shrinkToFit="1"/>
    </xf>
    <xf numFmtId="38" fontId="27" fillId="2" borderId="90" xfId="3" applyFont="1" applyFill="1" applyBorder="1" applyAlignment="1">
      <alignment horizontal="right" vertical="center"/>
    </xf>
    <xf numFmtId="38" fontId="27" fillId="2" borderId="91" xfId="3" applyFont="1" applyFill="1" applyBorder="1" applyAlignment="1">
      <alignment horizontal="right" vertical="center"/>
    </xf>
    <xf numFmtId="0" fontId="39" fillId="0" borderId="93" xfId="9" applyFont="1" applyBorder="1" applyAlignment="1">
      <alignment horizontal="center" vertical="center"/>
    </xf>
    <xf numFmtId="38" fontId="27" fillId="0" borderId="94" xfId="3" applyFont="1" applyFill="1" applyBorder="1">
      <alignment vertical="center"/>
    </xf>
    <xf numFmtId="0" fontId="39" fillId="0" borderId="94" xfId="9" applyFont="1" applyFill="1" applyBorder="1">
      <alignment vertical="center"/>
    </xf>
    <xf numFmtId="0" fontId="39" fillId="0" borderId="95" xfId="9" applyFont="1" applyFill="1" applyBorder="1">
      <alignment vertical="center"/>
    </xf>
    <xf numFmtId="0" fontId="27" fillId="0" borderId="89" xfId="9" applyFont="1" applyBorder="1" applyAlignment="1">
      <alignment horizontal="center" vertical="center" shrinkToFit="1"/>
    </xf>
    <xf numFmtId="38" fontId="39" fillId="0" borderId="96" xfId="3" applyFont="1" applyFill="1" applyBorder="1" applyAlignment="1">
      <alignment vertical="center"/>
    </xf>
    <xf numFmtId="0" fontId="39" fillId="0" borderId="26" xfId="9" applyFont="1" applyBorder="1" applyAlignment="1">
      <alignment horizontal="right" vertical="center"/>
    </xf>
    <xf numFmtId="0" fontId="27" fillId="0" borderId="89" xfId="9" applyFont="1" applyFill="1" applyBorder="1" applyAlignment="1">
      <alignment horizontal="center" vertical="center" wrapText="1" shrinkToFit="1"/>
    </xf>
    <xf numFmtId="38" fontId="27" fillId="2" borderId="96" xfId="3" applyFont="1" applyFill="1" applyBorder="1" applyAlignment="1">
      <alignment horizontal="right" vertical="center"/>
    </xf>
    <xf numFmtId="38" fontId="27" fillId="2" borderId="97" xfId="3" applyFont="1" applyFill="1" applyBorder="1" applyAlignment="1">
      <alignment horizontal="right" vertical="center"/>
    </xf>
    <xf numFmtId="0" fontId="19" fillId="0" borderId="1" xfId="9" applyFont="1" applyBorder="1" applyAlignment="1">
      <alignment horizontal="left" vertical="center"/>
    </xf>
    <xf numFmtId="38" fontId="27" fillId="2" borderId="90" xfId="3" applyFont="1" applyFill="1" applyBorder="1" applyAlignment="1">
      <alignment vertical="center"/>
    </xf>
    <xf numFmtId="38" fontId="27" fillId="2" borderId="91" xfId="3" applyFont="1" applyFill="1" applyBorder="1" applyAlignment="1">
      <alignment vertical="center"/>
    </xf>
    <xf numFmtId="0" fontId="27" fillId="0" borderId="98" xfId="9" applyFont="1" applyBorder="1" applyAlignment="1">
      <alignment horizontal="center" vertical="center" shrinkToFit="1"/>
    </xf>
    <xf numFmtId="38" fontId="39" fillId="0" borderId="94" xfId="3" applyFont="1" applyFill="1" applyBorder="1" applyAlignment="1">
      <alignment vertical="center"/>
    </xf>
    <xf numFmtId="38" fontId="39" fillId="0" borderId="99" xfId="3" applyFont="1" applyFill="1" applyBorder="1" applyAlignment="1">
      <alignment vertical="center"/>
    </xf>
    <xf numFmtId="0" fontId="39" fillId="0" borderId="30" xfId="9" applyFont="1" applyBorder="1" applyAlignment="1">
      <alignment horizontal="right" vertical="center"/>
    </xf>
    <xf numFmtId="0" fontId="27" fillId="2" borderId="83" xfId="9" applyFont="1" applyFill="1" applyBorder="1">
      <alignment vertical="center"/>
    </xf>
    <xf numFmtId="0" fontId="27" fillId="2" borderId="84" xfId="9" applyFont="1" applyFill="1" applyBorder="1">
      <alignment vertical="center"/>
    </xf>
    <xf numFmtId="0" fontId="27" fillId="0" borderId="82" xfId="9" applyFont="1" applyFill="1" applyBorder="1" applyAlignment="1">
      <alignment horizontal="center" vertical="center" wrapText="1" shrinkToFit="1"/>
    </xf>
    <xf numFmtId="38" fontId="27" fillId="2" borderId="83" xfId="3" applyFont="1" applyFill="1" applyBorder="1" applyAlignment="1">
      <alignment horizontal="right" vertical="center"/>
    </xf>
    <xf numFmtId="38" fontId="27" fillId="2" borderId="84" xfId="3" applyFont="1" applyFill="1" applyBorder="1" applyAlignment="1">
      <alignment horizontal="right" vertical="center"/>
    </xf>
    <xf numFmtId="0" fontId="39" fillId="0" borderId="0" xfId="9" quotePrefix="1" applyFont="1">
      <alignment vertical="center"/>
    </xf>
    <xf numFmtId="0" fontId="27" fillId="0" borderId="92" xfId="9" applyFont="1" applyBorder="1">
      <alignment vertical="center"/>
    </xf>
    <xf numFmtId="0" fontId="27" fillId="0" borderId="86" xfId="9" applyFont="1" applyBorder="1">
      <alignment vertical="center"/>
    </xf>
    <xf numFmtId="0" fontId="27" fillId="0" borderId="88" xfId="9" applyFont="1" applyBorder="1">
      <alignment vertical="center"/>
    </xf>
    <xf numFmtId="0" fontId="27" fillId="0" borderId="0" xfId="9" quotePrefix="1" applyFont="1">
      <alignment vertical="center"/>
    </xf>
    <xf numFmtId="0" fontId="27" fillId="0" borderId="92" xfId="9" applyFont="1" applyBorder="1" applyAlignment="1">
      <alignment horizontal="left" vertical="center"/>
    </xf>
    <xf numFmtId="0" fontId="27" fillId="0" borderId="86" xfId="9" applyFont="1" applyBorder="1" applyAlignment="1">
      <alignment horizontal="left" vertical="center"/>
    </xf>
    <xf numFmtId="0" fontId="27" fillId="0" borderId="88" xfId="9" applyFont="1" applyBorder="1" applyAlignment="1">
      <alignment horizontal="left" vertical="center"/>
    </xf>
    <xf numFmtId="0" fontId="39" fillId="0" borderId="12" xfId="9" applyFont="1" applyBorder="1" applyAlignment="1">
      <alignment horizontal="left" vertical="center"/>
    </xf>
    <xf numFmtId="0" fontId="27" fillId="2" borderId="86" xfId="9" applyFont="1" applyFill="1" applyBorder="1" applyAlignment="1">
      <alignment horizontal="center" vertical="center"/>
    </xf>
    <xf numFmtId="0" fontId="27" fillId="2" borderId="88" xfId="9" applyFont="1" applyFill="1" applyBorder="1" applyAlignment="1">
      <alignment horizontal="center" vertical="center"/>
    </xf>
    <xf numFmtId="0" fontId="39" fillId="0" borderId="0" xfId="9" applyFont="1" applyAlignment="1">
      <alignment horizontal="center" vertical="center"/>
    </xf>
    <xf numFmtId="0" fontId="39" fillId="0" borderId="86" xfId="9" applyFont="1" applyBorder="1" applyAlignment="1">
      <alignment horizontal="center" vertical="center"/>
    </xf>
    <xf numFmtId="0" fontId="39" fillId="0" borderId="88" xfId="9" applyFont="1" applyBorder="1" applyAlignment="1">
      <alignment horizontal="center" vertical="center"/>
    </xf>
    <xf numFmtId="0" fontId="27" fillId="2" borderId="96" xfId="9" applyFont="1" applyFill="1" applyBorder="1">
      <alignment vertical="center"/>
    </xf>
    <xf numFmtId="0" fontId="27" fillId="0" borderId="12" xfId="9" applyFont="1" applyBorder="1" applyAlignment="1">
      <alignment horizontal="right" vertical="center"/>
    </xf>
    <xf numFmtId="0" fontId="27" fillId="2" borderId="97" xfId="9" applyFont="1" applyFill="1" applyBorder="1">
      <alignment vertical="center"/>
    </xf>
    <xf numFmtId="38" fontId="27" fillId="0" borderId="90" xfId="3" applyFont="1" applyBorder="1" applyAlignment="1">
      <alignment horizontal="right" vertical="center"/>
    </xf>
    <xf numFmtId="0" fontId="27" fillId="0" borderId="83" xfId="9" applyFont="1" applyBorder="1" applyAlignment="1">
      <alignment horizontal="center" vertical="center"/>
    </xf>
    <xf numFmtId="0" fontId="39" fillId="0" borderId="12" xfId="9" applyFont="1" applyBorder="1" applyAlignment="1">
      <alignment horizontal="right" vertical="center"/>
    </xf>
    <xf numFmtId="0" fontId="27" fillId="0" borderId="84" xfId="9" applyFont="1" applyBorder="1" applyAlignment="1">
      <alignment horizontal="center" vertical="center"/>
    </xf>
    <xf numFmtId="0" fontId="55" fillId="0" borderId="1" xfId="9" applyFont="1" applyBorder="1" applyAlignment="1">
      <alignment horizontal="left" vertical="center"/>
    </xf>
    <xf numFmtId="0" fontId="58" fillId="0" borderId="87" xfId="9" applyFont="1" applyBorder="1" applyAlignment="1">
      <alignment horizontal="center" vertical="center" wrapText="1"/>
    </xf>
    <xf numFmtId="38" fontId="27" fillId="0" borderId="90" xfId="3" applyFont="1" applyFill="1" applyBorder="1" applyAlignment="1">
      <alignment horizontal="right" vertical="center" indent="1"/>
    </xf>
    <xf numFmtId="38" fontId="27" fillId="0" borderId="91" xfId="3" applyFont="1" applyFill="1" applyBorder="1" applyAlignment="1">
      <alignment horizontal="right" vertical="center" indent="1"/>
    </xf>
    <xf numFmtId="38" fontId="27" fillId="0" borderId="0" xfId="3" applyFont="1" applyFill="1" applyBorder="1" applyAlignment="1">
      <alignment horizontal="right" vertical="center" indent="1"/>
    </xf>
    <xf numFmtId="0" fontId="27" fillId="2" borderId="86" xfId="9" applyFont="1" applyFill="1" applyBorder="1">
      <alignment vertical="center"/>
    </xf>
    <xf numFmtId="0" fontId="27" fillId="0" borderId="89" xfId="9" applyFont="1" applyBorder="1" applyAlignment="1">
      <alignment horizontal="center" vertical="center" wrapText="1"/>
    </xf>
    <xf numFmtId="0" fontId="39" fillId="2" borderId="96" xfId="9" applyFont="1" applyFill="1" applyBorder="1">
      <alignment vertical="center"/>
    </xf>
    <xf numFmtId="0" fontId="39" fillId="2" borderId="97" xfId="9" applyFont="1" applyFill="1" applyBorder="1">
      <alignment vertical="center"/>
    </xf>
    <xf numFmtId="0" fontId="27" fillId="0" borderId="43" xfId="9" applyFont="1" applyBorder="1" applyAlignment="1">
      <alignment horizontal="center" vertical="center"/>
    </xf>
    <xf numFmtId="0" fontId="27" fillId="0" borderId="100" xfId="9" applyFont="1" applyBorder="1" applyAlignment="1">
      <alignment horizontal="center" vertical="center"/>
    </xf>
    <xf numFmtId="0" fontId="27" fillId="0" borderId="101" xfId="9" applyFont="1" applyBorder="1" applyAlignment="1">
      <alignment horizontal="center" vertical="center"/>
    </xf>
    <xf numFmtId="0" fontId="19" fillId="0" borderId="1" xfId="9" quotePrefix="1" applyFont="1" applyBorder="1" applyAlignment="1">
      <alignment horizontal="left" vertical="center"/>
    </xf>
    <xf numFmtId="0" fontId="39" fillId="0" borderId="92" xfId="9" applyFont="1" applyBorder="1" applyAlignment="1">
      <alignment horizontal="center" vertical="center" wrapText="1"/>
    </xf>
    <xf numFmtId="38" fontId="39" fillId="0" borderId="102" xfId="3" applyFont="1" applyFill="1" applyBorder="1" applyAlignment="1">
      <alignment horizontal="center" vertical="center"/>
    </xf>
    <xf numFmtId="38" fontId="39" fillId="0" borderId="88" xfId="3" applyFont="1" applyFill="1" applyBorder="1" applyAlignment="1">
      <alignment horizontal="center" vertical="center"/>
    </xf>
    <xf numFmtId="38" fontId="39" fillId="0" borderId="0" xfId="3" applyFont="1" applyFill="1" applyBorder="1" applyAlignment="1">
      <alignment horizontal="center" vertical="center"/>
    </xf>
    <xf numFmtId="0" fontId="27" fillId="0" borderId="92" xfId="9" quotePrefix="1" applyFont="1" applyBorder="1" applyAlignment="1">
      <alignment horizontal="center" vertical="center"/>
    </xf>
    <xf numFmtId="0" fontId="27" fillId="0" borderId="86" xfId="9" quotePrefix="1" applyFont="1" applyBorder="1" applyAlignment="1">
      <alignment horizontal="center" vertical="center"/>
    </xf>
    <xf numFmtId="0" fontId="27" fillId="0" borderId="88" xfId="9" quotePrefix="1" applyFont="1" applyBorder="1" applyAlignment="1">
      <alignment horizontal="center" vertical="center"/>
    </xf>
    <xf numFmtId="0" fontId="39" fillId="0" borderId="61" xfId="9" applyFont="1" applyBorder="1" applyAlignment="1">
      <alignment horizontal="center" vertical="center"/>
    </xf>
    <xf numFmtId="0" fontId="27" fillId="0" borderId="92" xfId="9" quotePrefix="1" applyFont="1" applyBorder="1" applyAlignment="1">
      <alignment horizontal="center" vertical="center" wrapText="1"/>
    </xf>
    <xf numFmtId="0" fontId="27" fillId="0" borderId="86" xfId="9" quotePrefix="1" applyFont="1" applyBorder="1" applyAlignment="1">
      <alignment horizontal="center" vertical="center" wrapText="1"/>
    </xf>
    <xf numFmtId="0" fontId="27" fillId="0" borderId="88" xfId="9" quotePrefix="1" applyFont="1" applyBorder="1" applyAlignment="1">
      <alignment horizontal="center" vertical="center" wrapText="1"/>
    </xf>
    <xf numFmtId="0" fontId="39" fillId="0" borderId="62" xfId="9" applyFont="1" applyBorder="1" applyAlignment="1">
      <alignment horizontal="center" vertical="center"/>
    </xf>
    <xf numFmtId="0" fontId="39" fillId="0" borderId="0" xfId="9" applyFont="1" applyBorder="1" applyAlignment="1">
      <alignment horizontal="center" vertical="center"/>
    </xf>
    <xf numFmtId="0" fontId="27" fillId="0" borderId="103" xfId="9" applyFont="1" applyBorder="1" applyAlignment="1">
      <alignment horizontal="center" vertical="center"/>
    </xf>
    <xf numFmtId="0" fontId="27" fillId="0" borderId="104" xfId="9" applyFont="1" applyBorder="1" applyAlignment="1">
      <alignment horizontal="center" vertical="center"/>
    </xf>
    <xf numFmtId="0" fontId="39" fillId="0" borderId="105" xfId="9" applyFont="1" applyBorder="1" applyAlignment="1">
      <alignment horizontal="left" vertical="top" wrapText="1"/>
    </xf>
    <xf numFmtId="0" fontId="39" fillId="0" borderId="106" xfId="9" applyFont="1" applyBorder="1" applyAlignment="1">
      <alignment horizontal="left" vertical="top" wrapText="1"/>
    </xf>
    <xf numFmtId="0" fontId="39" fillId="0" borderId="107" xfId="9" applyFont="1" applyBorder="1" applyAlignment="1">
      <alignment horizontal="left" vertical="top" wrapText="1"/>
    </xf>
    <xf numFmtId="0" fontId="58" fillId="0" borderId="0" xfId="9" applyFont="1" applyAlignment="1">
      <alignment vertical="top" wrapText="1"/>
    </xf>
    <xf numFmtId="38" fontId="27" fillId="0" borderId="0" xfId="3" applyFont="1" applyBorder="1">
      <alignment vertical="center"/>
    </xf>
    <xf numFmtId="38" fontId="27" fillId="0" borderId="0" xfId="9" applyNumberFormat="1" applyFont="1">
      <alignment vertical="center"/>
    </xf>
    <xf numFmtId="0" fontId="27" fillId="0" borderId="93" xfId="9" applyFont="1" applyBorder="1" applyAlignment="1">
      <alignment horizontal="center" vertical="center"/>
    </xf>
    <xf numFmtId="38" fontId="27" fillId="0" borderId="66" xfId="3" applyFont="1" applyBorder="1">
      <alignment vertical="center"/>
    </xf>
    <xf numFmtId="0" fontId="27" fillId="0" borderId="93" xfId="9" applyFont="1" applyBorder="1" applyAlignment="1">
      <alignment horizontal="center" vertical="center" shrinkToFit="1"/>
    </xf>
    <xf numFmtId="38" fontId="27" fillId="0" borderId="30" xfId="3" applyFont="1" applyBorder="1">
      <alignment vertical="center"/>
    </xf>
    <xf numFmtId="38" fontId="27" fillId="0" borderId="95" xfId="3" applyFont="1" applyBorder="1">
      <alignment vertical="center"/>
    </xf>
    <xf numFmtId="38" fontId="27" fillId="0" borderId="63" xfId="3" applyFont="1" applyBorder="1">
      <alignment vertical="center"/>
    </xf>
    <xf numFmtId="38" fontId="27" fillId="0" borderId="99" xfId="3" applyFont="1" applyBorder="1">
      <alignment vertical="center"/>
    </xf>
    <xf numFmtId="38" fontId="27" fillId="0" borderId="108" xfId="3" applyFont="1" applyBorder="1">
      <alignment vertical="center"/>
    </xf>
    <xf numFmtId="38" fontId="27" fillId="0" borderId="109" xfId="3" applyFont="1" applyBorder="1" applyAlignment="1">
      <alignment horizontal="right" vertical="center"/>
    </xf>
    <xf numFmtId="38" fontId="27" fillId="0" borderId="110" xfId="3" applyFont="1" applyBorder="1">
      <alignment vertical="center"/>
    </xf>
    <xf numFmtId="38" fontId="27" fillId="0" borderId="111" xfId="3" applyFont="1" applyBorder="1">
      <alignment vertical="center"/>
    </xf>
    <xf numFmtId="0" fontId="27" fillId="0" borderId="98" xfId="9" applyFont="1" applyBorder="1" applyAlignment="1">
      <alignment horizontal="center" vertical="center"/>
    </xf>
    <xf numFmtId="0" fontId="39" fillId="0" borderId="112" xfId="9" applyFont="1" applyBorder="1" applyAlignment="1">
      <alignment horizontal="left" vertical="top" wrapText="1"/>
    </xf>
    <xf numFmtId="0" fontId="39" fillId="0" borderId="62" xfId="9" applyFont="1" applyBorder="1" applyAlignment="1">
      <alignment horizontal="left" vertical="top" wrapText="1"/>
    </xf>
    <xf numFmtId="0" fontId="39" fillId="0" borderId="63" xfId="9" applyFont="1" applyBorder="1" applyAlignment="1">
      <alignment horizontal="left" vertical="top" wrapText="1"/>
    </xf>
    <xf numFmtId="0" fontId="39" fillId="0" borderId="113" xfId="9" applyFont="1" applyBorder="1" applyAlignment="1">
      <alignment horizontal="left" vertical="top" wrapText="1"/>
    </xf>
    <xf numFmtId="0" fontId="39" fillId="0" borderId="0" xfId="9" applyFont="1" applyBorder="1" applyAlignment="1">
      <alignment horizontal="left" vertical="top" wrapText="1"/>
    </xf>
    <xf numFmtId="0" fontId="39" fillId="0" borderId="5" xfId="9" applyFont="1" applyBorder="1" applyAlignment="1">
      <alignment horizontal="left" vertical="top" wrapText="1"/>
    </xf>
    <xf numFmtId="0" fontId="27" fillId="0" borderId="114" xfId="9" applyFont="1" applyBorder="1" applyAlignment="1">
      <alignment horizontal="center" vertical="center"/>
    </xf>
    <xf numFmtId="38" fontId="27" fillId="2" borderId="81" xfId="3" applyFont="1" applyFill="1" applyBorder="1">
      <alignment vertical="center"/>
    </xf>
    <xf numFmtId="38" fontId="27" fillId="2" borderId="115" xfId="3" applyFont="1" applyFill="1" applyBorder="1">
      <alignment vertical="center"/>
    </xf>
    <xf numFmtId="0" fontId="19" fillId="0" borderId="0" xfId="9" quotePrefix="1" applyFont="1">
      <alignment vertical="center"/>
    </xf>
    <xf numFmtId="0" fontId="39" fillId="0" borderId="70" xfId="9" applyFont="1" applyBorder="1" applyAlignment="1">
      <alignment vertical="center"/>
    </xf>
    <xf numFmtId="0" fontId="39" fillId="0" borderId="70" xfId="9" applyFont="1" applyBorder="1" applyAlignment="1">
      <alignment vertical="top" wrapText="1"/>
    </xf>
    <xf numFmtId="0" fontId="27" fillId="0" borderId="116" xfId="9" applyFont="1" applyBorder="1" applyAlignment="1">
      <alignment horizontal="center" vertical="center"/>
    </xf>
    <xf numFmtId="0" fontId="27" fillId="2" borderId="117" xfId="9" applyFont="1" applyFill="1" applyBorder="1" applyAlignment="1">
      <alignment horizontal="center" vertical="center" wrapText="1"/>
    </xf>
    <xf numFmtId="0" fontId="27" fillId="2" borderId="118" xfId="9" applyFont="1" applyFill="1" applyBorder="1" applyAlignment="1">
      <alignment horizontal="center" vertical="center" wrapText="1"/>
    </xf>
    <xf numFmtId="38" fontId="27" fillId="0" borderId="96" xfId="3" applyFont="1" applyBorder="1" applyAlignment="1">
      <alignment horizontal="center" vertical="center"/>
    </xf>
    <xf numFmtId="38" fontId="27" fillId="0" borderId="97" xfId="3" applyFont="1" applyBorder="1" applyAlignment="1">
      <alignment horizontal="center" vertical="center"/>
    </xf>
    <xf numFmtId="0" fontId="58" fillId="0" borderId="0" xfId="9" applyFont="1" applyAlignment="1">
      <alignment horizontal="left" vertical="top" wrapText="1"/>
    </xf>
    <xf numFmtId="0" fontId="27" fillId="0" borderId="119" xfId="9" applyFont="1" applyBorder="1" applyAlignment="1">
      <alignment horizontal="center" vertical="center"/>
    </xf>
    <xf numFmtId="0" fontId="55" fillId="0" borderId="120" xfId="9" applyFont="1" applyFill="1" applyBorder="1" applyAlignment="1">
      <alignment horizontal="center" vertical="center" wrapText="1"/>
    </xf>
    <xf numFmtId="0" fontId="55" fillId="0" borderId="121" xfId="9" applyFont="1" applyFill="1" applyBorder="1" applyAlignment="1">
      <alignment horizontal="center" vertical="center" wrapText="1"/>
    </xf>
    <xf numFmtId="38" fontId="27" fillId="2" borderId="99" xfId="3" applyFont="1" applyFill="1" applyBorder="1">
      <alignment vertical="center"/>
    </xf>
    <xf numFmtId="38" fontId="27" fillId="2" borderId="108" xfId="3" applyFont="1" applyFill="1" applyBorder="1">
      <alignment vertical="center"/>
    </xf>
    <xf numFmtId="0" fontId="19" fillId="0" borderId="0" xfId="9" applyFont="1">
      <alignment vertical="center"/>
    </xf>
    <xf numFmtId="0" fontId="39" fillId="0" borderId="11" xfId="9" applyFont="1" applyBorder="1" applyAlignment="1">
      <alignment horizontal="center" vertical="center"/>
    </xf>
    <xf numFmtId="0" fontId="39" fillId="0" borderId="6" xfId="9" applyFont="1" applyBorder="1">
      <alignment vertical="center"/>
    </xf>
    <xf numFmtId="0" fontId="39" fillId="0" borderId="4" xfId="9" applyFont="1" applyBorder="1">
      <alignment vertical="center"/>
    </xf>
    <xf numFmtId="0" fontId="39" fillId="0" borderId="3" xfId="9" applyFont="1" applyBorder="1">
      <alignment vertical="center"/>
    </xf>
    <xf numFmtId="0" fontId="39" fillId="0" borderId="20" xfId="9" applyFont="1" applyBorder="1" applyAlignment="1">
      <alignment horizontal="center" vertical="center"/>
    </xf>
    <xf numFmtId="0" fontId="39" fillId="0" borderId="24" xfId="9" applyFont="1" applyBorder="1">
      <alignment vertical="center"/>
    </xf>
    <xf numFmtId="0" fontId="39" fillId="0" borderId="21" xfId="9" applyFont="1" applyBorder="1">
      <alignment vertical="center"/>
    </xf>
    <xf numFmtId="0" fontId="39" fillId="0" borderId="31" xfId="9" applyFont="1" applyBorder="1" applyAlignment="1">
      <alignment horizontal="center" vertical="center"/>
    </xf>
    <xf numFmtId="0" fontId="39" fillId="0" borderId="32" xfId="9" applyFont="1" applyBorder="1" applyAlignment="1">
      <alignment horizontal="center" vertical="center"/>
    </xf>
    <xf numFmtId="0" fontId="59" fillId="0" borderId="0" xfId="5" applyFont="1" applyAlignment="1">
      <alignment horizontal="left" vertical="center"/>
    </xf>
    <xf numFmtId="0" fontId="60" fillId="0" borderId="0" xfId="5" applyFont="1" applyAlignment="1">
      <alignment horizontal="left" vertical="center"/>
    </xf>
    <xf numFmtId="38" fontId="39" fillId="0" borderId="64" xfId="3" applyFont="1" applyBorder="1" applyAlignment="1">
      <alignment horizontal="left" vertical="center" wrapText="1"/>
    </xf>
    <xf numFmtId="38" fontId="39" fillId="0" borderId="70" xfId="3" applyFont="1" applyBorder="1" applyAlignment="1">
      <alignment horizontal="left" vertical="center"/>
    </xf>
    <xf numFmtId="38" fontId="39" fillId="0" borderId="39" xfId="3" applyFont="1" applyBorder="1" applyAlignment="1">
      <alignment horizontal="left" vertical="center"/>
    </xf>
    <xf numFmtId="38" fontId="39" fillId="0" borderId="122" xfId="3" applyFont="1" applyBorder="1">
      <alignment vertical="center"/>
    </xf>
    <xf numFmtId="38" fontId="39" fillId="0" borderId="123" xfId="3" applyFont="1" applyBorder="1">
      <alignment vertical="center"/>
    </xf>
    <xf numFmtId="38" fontId="39" fillId="0" borderId="7" xfId="3" applyFont="1" applyBorder="1">
      <alignment vertical="center"/>
    </xf>
    <xf numFmtId="0" fontId="27" fillId="0" borderId="11" xfId="9" applyFont="1" applyBorder="1" applyAlignment="1">
      <alignment horizontal="center" vertical="center" shrinkToFit="1"/>
    </xf>
    <xf numFmtId="0" fontId="39" fillId="0" borderId="3" xfId="9" applyFont="1" applyBorder="1" applyAlignment="1">
      <alignment horizontal="center" vertical="center"/>
    </xf>
    <xf numFmtId="0" fontId="39" fillId="0" borderId="6" xfId="9" applyFont="1" applyBorder="1" applyAlignment="1">
      <alignment horizontal="center" vertical="center" shrinkToFit="1"/>
    </xf>
    <xf numFmtId="0" fontId="39" fillId="0" borderId="7" xfId="9" applyFont="1" applyBorder="1" applyAlignment="1">
      <alignment horizontal="center" vertical="center"/>
    </xf>
    <xf numFmtId="38" fontId="39" fillId="2" borderId="69" xfId="3" applyFont="1" applyFill="1" applyBorder="1" applyAlignment="1">
      <alignment vertical="center"/>
    </xf>
    <xf numFmtId="38" fontId="39" fillId="2" borderId="123" xfId="3" applyFont="1" applyFill="1" applyBorder="1" applyAlignment="1">
      <alignment vertical="center"/>
    </xf>
    <xf numFmtId="38" fontId="39" fillId="2" borderId="6" xfId="3" applyFont="1" applyFill="1" applyBorder="1" applyAlignment="1">
      <alignment vertical="center"/>
    </xf>
    <xf numFmtId="38" fontId="39" fillId="2" borderId="4" xfId="3" applyFont="1" applyFill="1" applyBorder="1" applyAlignment="1">
      <alignment vertical="center"/>
    </xf>
    <xf numFmtId="0" fontId="39" fillId="0" borderId="5" xfId="9" applyFont="1" applyBorder="1">
      <alignment vertical="center"/>
    </xf>
    <xf numFmtId="0" fontId="39" fillId="0" borderId="31" xfId="9" applyFont="1" applyBorder="1" applyAlignment="1">
      <alignment horizontal="left" vertical="center" wrapText="1"/>
    </xf>
    <xf numFmtId="38" fontId="39" fillId="0" borderId="35" xfId="3" applyFont="1" applyBorder="1">
      <alignment vertical="center"/>
    </xf>
    <xf numFmtId="0" fontId="39" fillId="0" borderId="124" xfId="9" applyFont="1" applyBorder="1" applyAlignment="1">
      <alignment horizontal="center" vertical="center"/>
    </xf>
    <xf numFmtId="38" fontId="39" fillId="2" borderId="33" xfId="3" applyFont="1" applyFill="1" applyBorder="1" applyAlignment="1">
      <alignment vertical="center"/>
    </xf>
    <xf numFmtId="38" fontId="39" fillId="2" borderId="34" xfId="3" applyFont="1" applyFill="1" applyBorder="1" applyAlignment="1">
      <alignment vertical="center"/>
    </xf>
    <xf numFmtId="38" fontId="39" fillId="2" borderId="35" xfId="3" applyFont="1" applyFill="1" applyBorder="1" applyAlignment="1">
      <alignment vertical="center"/>
    </xf>
    <xf numFmtId="38" fontId="39" fillId="2" borderId="32" xfId="3" applyFont="1" applyFill="1" applyBorder="1" applyAlignment="1">
      <alignment vertical="center"/>
    </xf>
    <xf numFmtId="0" fontId="39" fillId="0" borderId="125" xfId="9" applyFont="1" applyBorder="1" applyAlignment="1">
      <alignment horizontal="center" vertical="center"/>
    </xf>
    <xf numFmtId="0" fontId="39" fillId="0" borderId="126" xfId="9" applyFont="1" applyBorder="1" applyAlignment="1">
      <alignment horizontal="center" vertical="center"/>
    </xf>
    <xf numFmtId="0" fontId="39" fillId="0" borderId="36" xfId="9" applyFont="1" applyBorder="1" applyAlignment="1">
      <alignment horizontal="center" vertical="center"/>
    </xf>
    <xf numFmtId="38" fontId="39" fillId="2" borderId="11" xfId="3" applyFont="1" applyFill="1" applyBorder="1" applyAlignment="1">
      <alignment vertical="center"/>
    </xf>
    <xf numFmtId="38" fontId="39" fillId="2" borderId="36" xfId="3" applyFont="1" applyFill="1" applyBorder="1" applyAlignment="1">
      <alignment vertical="center"/>
    </xf>
    <xf numFmtId="0" fontId="61" fillId="0" borderId="31" xfId="9" applyFont="1" applyFill="1" applyBorder="1" applyAlignment="1">
      <alignment horizontal="left" vertical="center" wrapText="1"/>
    </xf>
  </cellXfs>
  <cellStyles count="18">
    <cellStyle name="桁区切り 2" xfId="1"/>
    <cellStyle name="桁区切り 3" xfId="2"/>
    <cellStyle name="桁区切り 3 2" xfId="3"/>
    <cellStyle name="桁区切り 4" xfId="4"/>
    <cellStyle name="標準" xfId="0" builtinId="0"/>
    <cellStyle name="標準 2" xfId="5"/>
    <cellStyle name="標準 2 2" xfId="6"/>
    <cellStyle name="標準 2 3" xfId="7"/>
    <cellStyle name="標準 3" xfId="8"/>
    <cellStyle name="標準 3 2" xfId="9"/>
    <cellStyle name="標準 3 2 2" xfId="10"/>
    <cellStyle name="標準 4" xfId="11"/>
    <cellStyle name="標準 5" xfId="12"/>
    <cellStyle name="標準 6" xfId="13"/>
    <cellStyle name="標準_⑤参考様式11,12号別紙(収支実績報告書（支援交付金））" xfId="14"/>
    <cellStyle name="標準_出納帳20061221_金銭出納簿 2" xfId="15"/>
    <cellStyle name="標準_提出書類　記入例（瑞穂）_中山間作業日報（白紙）新 2" xfId="16"/>
    <cellStyle name="桁区切り" xfId="17" builtinId="6"/>
  </cellStyles>
  <dxfs count="4">
    <dxf>
      <fill>
        <patternFill>
          <bgColor indexed="10"/>
        </patternFill>
      </fill>
    </dxf>
    <dxf>
      <fill>
        <patternFill>
          <bgColor indexed="10"/>
        </patternFill>
      </fill>
    </dxf>
    <dxf>
      <font>
        <color indexed="9"/>
      </font>
      <fill>
        <patternFill patternType="none">
          <bgColor indexed="65"/>
        </patternFill>
      </fill>
    </dxf>
    <dxf>
      <font>
        <color indexed="9"/>
      </font>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theme" Target="theme/theme1.xml" /><Relationship Id="rId14" Type="http://schemas.openxmlformats.org/officeDocument/2006/relationships/sharedStrings" Target="sharedStrings.xml" /><Relationship Id="rId15" Type="http://schemas.openxmlformats.org/officeDocument/2006/relationships/styles" Target="styles.xml" /></Relationships>
</file>

<file path=xl/drawings/_rels/vmlDrawing1.vml.rels><?xml version="1.0" encoding="UTF-8"?><Relationships xmlns="http://schemas.openxmlformats.org/package/2006/relationships"><Relationship Id="rId1" Type="http://schemas.openxmlformats.org/officeDocument/2006/relationships/image" Target="../media/image1.emf" /></Relationships>
</file>

<file path=xl/drawings/_rels/vmlDrawing2.v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8</xdr:col>
          <xdr:colOff>57150</xdr:colOff>
          <xdr:row>80</xdr:row>
          <xdr:rowOff>0</xdr:rowOff>
        </xdr:from>
        <xdr:to xmlns:xdr="http://schemas.openxmlformats.org/drawingml/2006/spreadsheetDrawing">
          <xdr:col>17</xdr:col>
          <xdr:colOff>171450</xdr:colOff>
          <xdr:row>84</xdr:row>
          <xdr:rowOff>171450</xdr:rowOff>
        </xdr:to>
        <xdr:sp textlink="">
          <xdr:nvSpPr>
            <xdr:cNvPr id="150529" name="オブジェクト 1" hidden="1">
              <a:extLst>
                <a:ext uri="{63B3BB69-23CF-44E3-9099-C40C66FF867C}">
                  <a14:compatExt spid="_x0000_s150529"/>
                </a:ext>
              </a:extLst>
            </xdr:cNvPr>
            <xdr:cNvSpPr>
              <a:spLocks noChangeAspect="1"/>
            </xdr:cNvSpPr>
          </xdr:nvSpPr>
          <xdr:spPr>
            <a:xfrm>
              <a:off x="5429250" y="23268940"/>
              <a:ext cx="5448300" cy="1294130"/>
            </a:xfrm>
            <a:prstGeom prst="rect"/>
          </xdr:spPr>
        </xdr:sp>
        <xdr:clientData/>
      </xdr:twoCellAnchor>
    </mc:Choice>
    <mc:Fallback/>
  </mc:AlternateContent>
  <xdr:twoCellAnchor>
    <xdr:from xmlns:xdr="http://schemas.openxmlformats.org/drawingml/2006/spreadsheetDrawing">
      <xdr:col>30</xdr:col>
      <xdr:colOff>1102360</xdr:colOff>
      <xdr:row>23</xdr:row>
      <xdr:rowOff>40640</xdr:rowOff>
    </xdr:from>
    <xdr:to xmlns:xdr="http://schemas.openxmlformats.org/drawingml/2006/spreadsheetDrawing">
      <xdr:col>37</xdr:col>
      <xdr:colOff>509270</xdr:colOff>
      <xdr:row>27</xdr:row>
      <xdr:rowOff>238125</xdr:rowOff>
    </xdr:to>
    <xdr:sp macro="" textlink="">
      <xdr:nvSpPr>
        <xdr:cNvPr id="3" name="テキスト ボックス 2"/>
        <xdr:cNvSpPr txBox="1"/>
      </xdr:nvSpPr>
      <xdr:spPr>
        <a:xfrm>
          <a:off x="22981285" y="7332345"/>
          <a:ext cx="8017510" cy="1312545"/>
        </a:xfrm>
        <a:prstGeom prst="rect">
          <a:avLst/>
        </a:prstGeom>
        <a:solidFill>
          <a:schemeClr val="lt1"/>
        </a:solidFill>
        <a:ln w="25400"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200">
              <a:solidFill>
                <a:schemeClr val="tx1"/>
              </a:solidFill>
              <a:latin typeface="ＭＳ Ｐゴシック"/>
              <a:ea typeface="ＭＳ Ｐゴシック"/>
            </a:rPr>
            <a:t>【</a:t>
          </a:r>
          <a:r>
            <a:rPr kumimoji="1" lang="ja-JP" altLang="en-US" sz="1200">
              <a:solidFill>
                <a:schemeClr val="tx1"/>
              </a:solidFill>
              <a:latin typeface="ＭＳ Ｐゴシック"/>
              <a:ea typeface="ＭＳ Ｐゴシック"/>
            </a:rPr>
            <a:t>注意事項</a:t>
          </a:r>
          <a:r>
            <a:rPr kumimoji="1" lang="en-US" altLang="ja-JP" sz="1200">
              <a:solidFill>
                <a:schemeClr val="tx1"/>
              </a:solidFill>
              <a:latin typeface="ＭＳ Ｐゴシック"/>
              <a:ea typeface="ＭＳ Ｐゴシック"/>
            </a:rPr>
            <a:t>】</a:t>
          </a:r>
        </a:p>
        <a:p>
          <a:r>
            <a:rPr kumimoji="1" lang="ja-JP" altLang="en-US" sz="1200">
              <a:solidFill>
                <a:schemeClr val="tx1"/>
              </a:solidFill>
              <a:latin typeface="ＭＳ Ｐゴシック"/>
              <a:ea typeface="ＭＳ Ｐゴシック"/>
            </a:rPr>
            <a:t>・減価償却費を均等割する場合は</a:t>
          </a:r>
          <a:r>
            <a:rPr kumimoji="1" lang="en-US" altLang="ja-JP" sz="1200">
              <a:solidFill>
                <a:schemeClr val="tx1"/>
              </a:solidFill>
              <a:latin typeface="ＭＳ Ｐゴシック"/>
              <a:ea typeface="ＭＳ Ｐゴシック"/>
            </a:rPr>
            <a:t>『</a:t>
          </a:r>
          <a:r>
            <a:rPr kumimoji="1" lang="ja-JP" altLang="en-US" sz="1200">
              <a:solidFill>
                <a:schemeClr val="tx1"/>
              </a:solidFill>
              <a:latin typeface="ＭＳ Ｐゴシック"/>
              <a:ea typeface="ＭＳ Ｐゴシック"/>
            </a:rPr>
            <a:t>減価償却資産の計算表（均等割りの場合）</a:t>
          </a:r>
          <a:r>
            <a:rPr kumimoji="1" lang="en-US" altLang="ja-JP" sz="1200">
              <a:solidFill>
                <a:schemeClr val="tx1"/>
              </a:solidFill>
              <a:latin typeface="ＭＳ Ｐゴシック"/>
              <a:ea typeface="ＭＳ Ｐゴシック"/>
            </a:rPr>
            <a:t>』</a:t>
          </a:r>
          <a:r>
            <a:rPr kumimoji="1" lang="ja-JP" altLang="en-US" sz="1200">
              <a:solidFill>
                <a:schemeClr val="tx1"/>
              </a:solidFill>
              <a:latin typeface="ＭＳ Ｐゴシック"/>
              <a:ea typeface="ＭＳ Ｐゴシック"/>
            </a:rPr>
            <a:t>で求めた　一人あたりの額を転記する。</a:t>
          </a:r>
        </a:p>
        <a:p>
          <a:r>
            <a:rPr kumimoji="1" lang="ja-JP" altLang="en-US" sz="1200">
              <a:solidFill>
                <a:srgbClr val="FF0000"/>
              </a:solidFill>
              <a:latin typeface="ＭＳ Ｐゴシック"/>
              <a:ea typeface="ＭＳ Ｐゴシック"/>
            </a:rPr>
            <a:t>・一人当りの所要額が</a:t>
          </a:r>
          <a:r>
            <a:rPr kumimoji="1" lang="en-US" altLang="ja-JP" sz="1200">
              <a:solidFill>
                <a:srgbClr val="FF0000"/>
              </a:solidFill>
              <a:latin typeface="ＭＳ Ｐゴシック"/>
              <a:ea typeface="ＭＳ Ｐゴシック"/>
            </a:rPr>
            <a:t>ⓒ</a:t>
          </a:r>
          <a:r>
            <a:rPr kumimoji="1" lang="ja-JP" altLang="en-US" sz="1200">
              <a:solidFill>
                <a:srgbClr val="FF0000"/>
              </a:solidFill>
              <a:latin typeface="ＭＳ Ｐゴシック"/>
              <a:ea typeface="ＭＳ Ｐゴシック"/>
            </a:rPr>
            <a:t>２０万円以上の資産を処分した場合は、「残存簿価分」列に１資産につき１円を記載する。</a:t>
          </a:r>
        </a:p>
        <a:p>
          <a:r>
            <a:rPr kumimoji="1" lang="ja-JP" altLang="en-US" sz="1200">
              <a:solidFill>
                <a:schemeClr val="tx1"/>
              </a:solidFill>
              <a:latin typeface="ＭＳ Ｐゴシック"/>
              <a:ea typeface="ＭＳ Ｐゴシック"/>
            </a:rPr>
            <a:t>・独自に按分する場合は、協定の約束事に従って額を入力する。</a:t>
          </a:r>
          <a:endParaRPr kumimoji="1" lang="en-US" altLang="ja-JP" sz="1200">
            <a:solidFill>
              <a:schemeClr val="tx1"/>
            </a:solidFill>
            <a:latin typeface="ＭＳ Ｐゴシック"/>
            <a:ea typeface="ＭＳ Ｐゴシック"/>
          </a:endParaRPr>
        </a:p>
        <a:p>
          <a:endParaRPr kumimoji="1" lang="en-US" altLang="ja-JP" sz="1100">
            <a:solidFill>
              <a:srgbClr val="FF0000"/>
            </a:solidFill>
            <a:latin typeface="ＭＳ Ｐゴシック"/>
            <a:ea typeface="ＭＳ Ｐゴシック"/>
          </a:endParaRPr>
        </a:p>
        <a:p>
          <a:r>
            <a:rPr kumimoji="1" lang="ja-JP" altLang="en-US" sz="1100">
              <a:solidFill>
                <a:srgbClr val="FF0000"/>
              </a:solidFill>
              <a:latin typeface="ＭＳ Ｐゴシック"/>
              <a:ea typeface="ＭＳ Ｐゴシック"/>
            </a:rPr>
            <a:t>（この赤枠は印刷されません。表示位置の移動や赤枠自体を削除しても構いません。）</a:t>
          </a:r>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8</xdr:col>
          <xdr:colOff>57150</xdr:colOff>
          <xdr:row>80</xdr:row>
          <xdr:rowOff>0</xdr:rowOff>
        </xdr:from>
        <xdr:to xmlns:xdr="http://schemas.openxmlformats.org/drawingml/2006/spreadsheetDrawing">
          <xdr:col>17</xdr:col>
          <xdr:colOff>171450</xdr:colOff>
          <xdr:row>84</xdr:row>
          <xdr:rowOff>171450</xdr:rowOff>
        </xdr:to>
        <xdr:sp textlink="">
          <xdr:nvSpPr>
            <xdr:cNvPr id="24577" name="オブジェクト 1" hidden="1">
              <a:extLst>
                <a:ext uri="{63B3BB69-23CF-44E3-9099-C40C66FF867C}">
                  <a14:compatExt spid="_x0000_s24577"/>
                </a:ext>
              </a:extLst>
            </xdr:cNvPr>
            <xdr:cNvSpPr>
              <a:spLocks noChangeAspect="1"/>
            </xdr:cNvSpPr>
          </xdr:nvSpPr>
          <xdr:spPr>
            <a:xfrm>
              <a:off x="5372100" y="23307040"/>
              <a:ext cx="5667375" cy="1294130"/>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oleObject" Target="../embeddings/oleObject1.bin" /><Relationship Id="rId5" Type="http://schemas.openxmlformats.org/officeDocument/2006/relationships/image" Target="../media/image1.emf"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oleObject" Target="../embeddings/oleObject2.bin" /><Relationship Id="rId5" Type="http://schemas.openxmlformats.org/officeDocument/2006/relationships/image" Target="../media/image1.emf"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G128"/>
  <sheetViews>
    <sheetView showGridLines="0" tabSelected="1" view="pageBreakPreview" zoomScale="120" zoomScaleSheetLayoutView="120" workbookViewId="0">
      <selection activeCell="H9" sqref="H9"/>
    </sheetView>
  </sheetViews>
  <sheetFormatPr defaultRowHeight="13.5"/>
  <cols>
    <col min="1" max="1" width="15" style="1" customWidth="1"/>
    <col min="2" max="2" width="14.375" style="1" customWidth="1"/>
    <col min="3" max="6" width="13.625" style="1" customWidth="1"/>
    <col min="7" max="16384" width="9" style="1" customWidth="1"/>
  </cols>
  <sheetData>
    <row r="1" spans="1:7">
      <c r="A1" s="2" t="s">
        <v>4</v>
      </c>
      <c r="B1" s="37"/>
      <c r="C1" s="37"/>
      <c r="E1" s="86" t="s">
        <v>149</v>
      </c>
      <c r="F1" s="86"/>
      <c r="G1" s="122"/>
    </row>
    <row r="2" spans="1:7">
      <c r="A2" s="3"/>
      <c r="B2" s="3"/>
      <c r="C2" s="3"/>
      <c r="D2" s="3"/>
      <c r="E2" s="3"/>
      <c r="F2" s="3"/>
    </row>
    <row r="3" spans="1:7" ht="14.25">
      <c r="A3" s="4" t="s">
        <v>341</v>
      </c>
      <c r="B3" s="4"/>
      <c r="C3" s="5" t="s">
        <v>146</v>
      </c>
      <c r="D3" s="5"/>
      <c r="E3" s="5"/>
      <c r="F3" s="5"/>
    </row>
    <row r="4" spans="1:7">
      <c r="A4" s="5"/>
      <c r="B4" s="5"/>
      <c r="C4" s="5"/>
      <c r="D4" s="5"/>
      <c r="E4" s="5"/>
      <c r="F4" s="5"/>
    </row>
    <row r="5" spans="1:7">
      <c r="B5" s="5"/>
      <c r="C5" s="56" t="s">
        <v>151</v>
      </c>
      <c r="D5" s="56"/>
      <c r="E5" s="87"/>
      <c r="F5" s="87"/>
    </row>
    <row r="6" spans="1:7">
      <c r="B6" s="38"/>
      <c r="C6" s="56"/>
      <c r="D6" s="56" t="s">
        <v>253</v>
      </c>
      <c r="E6" s="87"/>
      <c r="F6" s="87"/>
    </row>
    <row r="7" spans="1:7">
      <c r="B7" s="38"/>
      <c r="C7" s="56"/>
      <c r="D7" s="72" t="s">
        <v>194</v>
      </c>
      <c r="E7" s="87"/>
      <c r="F7" s="87"/>
    </row>
    <row r="8" spans="1:7">
      <c r="A8" s="5"/>
      <c r="B8" s="5"/>
      <c r="C8" s="5"/>
      <c r="D8" s="5"/>
      <c r="E8" s="5"/>
      <c r="F8" s="5"/>
    </row>
    <row r="9" spans="1:7" ht="17.25">
      <c r="A9" s="6">
        <v>7</v>
      </c>
      <c r="B9" s="6"/>
      <c r="C9" s="6"/>
      <c r="D9" s="6"/>
      <c r="E9" s="6"/>
      <c r="F9" s="6"/>
    </row>
    <row r="10" spans="1:7">
      <c r="A10" s="5"/>
      <c r="B10" s="5"/>
      <c r="C10" s="5"/>
      <c r="D10" s="5"/>
      <c r="E10" s="5"/>
      <c r="F10" s="5"/>
    </row>
    <row r="11" spans="1:7">
      <c r="A11" s="5" t="s">
        <v>152</v>
      </c>
      <c r="B11" s="5"/>
      <c r="C11" s="5"/>
      <c r="D11" s="5"/>
      <c r="E11" s="5"/>
      <c r="F11" s="5"/>
    </row>
    <row r="12" spans="1:7" ht="14.25">
      <c r="A12" s="7" t="s">
        <v>108</v>
      </c>
      <c r="B12" s="7"/>
      <c r="C12" s="7"/>
      <c r="D12" s="7"/>
      <c r="E12" s="7"/>
      <c r="F12" s="7" t="s">
        <v>275</v>
      </c>
    </row>
    <row r="13" spans="1:7" ht="14.25">
      <c r="A13" s="8" t="s">
        <v>156</v>
      </c>
      <c r="B13" s="39"/>
      <c r="C13" s="57" t="s">
        <v>157</v>
      </c>
      <c r="D13" s="73"/>
      <c r="E13" s="57" t="s">
        <v>159</v>
      </c>
      <c r="F13" s="103"/>
    </row>
    <row r="14" spans="1:7" ht="22.5" customHeight="1">
      <c r="A14" s="9" t="s">
        <v>160</v>
      </c>
      <c r="B14" s="40"/>
      <c r="C14" s="58"/>
      <c r="D14" s="74"/>
      <c r="E14" s="88"/>
      <c r="F14" s="104"/>
      <c r="G14" s="122"/>
    </row>
    <row r="15" spans="1:7" ht="22.5" customHeight="1">
      <c r="A15" s="10" t="s">
        <v>162</v>
      </c>
      <c r="B15" s="41"/>
      <c r="C15" s="59"/>
      <c r="D15" s="75"/>
      <c r="E15" s="89"/>
      <c r="F15" s="105"/>
      <c r="G15" s="122"/>
    </row>
    <row r="16" spans="1:7" ht="19.5" customHeight="1">
      <c r="A16" s="11" t="s">
        <v>240</v>
      </c>
      <c r="B16" s="42"/>
      <c r="C16" s="60">
        <f>SUM(C14:D15)</f>
        <v>0</v>
      </c>
      <c r="D16" s="76"/>
      <c r="E16" s="90"/>
      <c r="F16" s="106"/>
    </row>
    <row r="17" spans="1:7" ht="17.25" customHeight="1">
      <c r="A17" s="12"/>
      <c r="B17" s="12"/>
      <c r="C17" s="12"/>
      <c r="D17" s="12"/>
      <c r="E17" s="12"/>
      <c r="F17" s="12"/>
    </row>
    <row r="18" spans="1:7" ht="17.25" customHeight="1">
      <c r="A18" s="13" t="s">
        <v>34</v>
      </c>
      <c r="B18" s="13"/>
      <c r="C18" s="61"/>
      <c r="D18" s="61"/>
      <c r="E18" s="61"/>
      <c r="F18" s="61" t="s">
        <v>275</v>
      </c>
    </row>
    <row r="19" spans="1:7" ht="17.25" customHeight="1">
      <c r="A19" s="8" t="s">
        <v>120</v>
      </c>
      <c r="B19" s="39"/>
      <c r="C19" s="57" t="s">
        <v>165</v>
      </c>
      <c r="D19" s="73"/>
      <c r="E19" s="91" t="s">
        <v>166</v>
      </c>
      <c r="F19" s="107"/>
    </row>
    <row r="20" spans="1:7" ht="22.5" customHeight="1">
      <c r="A20" s="9" t="s">
        <v>118</v>
      </c>
      <c r="B20" s="40"/>
      <c r="C20" s="62"/>
      <c r="D20" s="77"/>
      <c r="E20" s="92"/>
      <c r="F20" s="108"/>
    </row>
    <row r="21" spans="1:7" ht="22.5" customHeight="1">
      <c r="A21" s="14" t="s">
        <v>315</v>
      </c>
      <c r="B21" s="43"/>
      <c r="C21" s="63"/>
      <c r="D21" s="78"/>
      <c r="E21" s="93"/>
      <c r="F21" s="109"/>
      <c r="G21" s="122"/>
    </row>
    <row r="22" spans="1:7" ht="22.5" customHeight="1">
      <c r="A22" s="14" t="s">
        <v>314</v>
      </c>
      <c r="B22" s="43"/>
      <c r="C22" s="63"/>
      <c r="D22" s="78"/>
      <c r="E22" s="94"/>
      <c r="F22" s="110"/>
      <c r="G22" s="122"/>
    </row>
    <row r="23" spans="1:7" ht="22.5" customHeight="1">
      <c r="A23" s="14" t="s">
        <v>168</v>
      </c>
      <c r="B23" s="43"/>
      <c r="C23" s="63"/>
      <c r="D23" s="78"/>
      <c r="E23" s="94"/>
      <c r="F23" s="110"/>
    </row>
    <row r="24" spans="1:7" ht="22.5" customHeight="1">
      <c r="A24" s="14" t="s">
        <v>141</v>
      </c>
      <c r="B24" s="43"/>
      <c r="C24" s="63"/>
      <c r="D24" s="78"/>
      <c r="E24" s="94"/>
      <c r="F24" s="110"/>
    </row>
    <row r="25" spans="1:7" ht="22.5" customHeight="1">
      <c r="A25" s="14" t="s">
        <v>303</v>
      </c>
      <c r="B25" s="43"/>
      <c r="C25" s="63"/>
      <c r="D25" s="78"/>
      <c r="E25" s="94"/>
      <c r="F25" s="110"/>
    </row>
    <row r="26" spans="1:7" ht="22.5" customHeight="1">
      <c r="A26" s="14" t="s">
        <v>45</v>
      </c>
      <c r="B26" s="43"/>
      <c r="C26" s="63"/>
      <c r="D26" s="79"/>
      <c r="E26" s="94"/>
      <c r="F26" s="110"/>
    </row>
    <row r="27" spans="1:7" ht="22.5" customHeight="1">
      <c r="A27" s="14" t="s">
        <v>304</v>
      </c>
      <c r="B27" s="43"/>
      <c r="C27" s="63"/>
      <c r="D27" s="78"/>
      <c r="E27" s="94"/>
      <c r="F27" s="110"/>
    </row>
    <row r="28" spans="1:7" ht="22.5" customHeight="1">
      <c r="A28" s="14" t="s">
        <v>64</v>
      </c>
      <c r="B28" s="43"/>
      <c r="C28" s="63"/>
      <c r="D28" s="79"/>
      <c r="E28" s="94"/>
      <c r="F28" s="110"/>
    </row>
    <row r="29" spans="1:7" ht="22.5" customHeight="1">
      <c r="A29" s="14" t="s">
        <v>131</v>
      </c>
      <c r="B29" s="43"/>
      <c r="C29" s="63"/>
      <c r="D29" s="79"/>
      <c r="E29" s="94"/>
      <c r="F29" s="110"/>
    </row>
    <row r="30" spans="1:7" ht="22.5" customHeight="1">
      <c r="A30" s="14" t="s">
        <v>226</v>
      </c>
      <c r="B30" s="43"/>
      <c r="C30" s="63"/>
      <c r="D30" s="79"/>
      <c r="E30" s="94"/>
      <c r="F30" s="110"/>
    </row>
    <row r="31" spans="1:7" ht="22.5" customHeight="1">
      <c r="A31" s="14" t="s">
        <v>288</v>
      </c>
      <c r="B31" s="43"/>
      <c r="C31" s="63"/>
      <c r="D31" s="79"/>
      <c r="E31" s="94"/>
      <c r="F31" s="110"/>
    </row>
    <row r="32" spans="1:7" ht="22.5" customHeight="1">
      <c r="A32" s="15" t="s">
        <v>294</v>
      </c>
      <c r="B32" s="44"/>
      <c r="C32" s="64"/>
      <c r="D32" s="80"/>
      <c r="E32" s="94"/>
      <c r="F32" s="110"/>
    </row>
    <row r="33" spans="1:6" ht="22.5" customHeight="1">
      <c r="A33" s="16" t="s">
        <v>79</v>
      </c>
      <c r="B33" s="45"/>
      <c r="C33" s="65">
        <f>SUM(C20:D32)</f>
        <v>0</v>
      </c>
      <c r="D33" s="81"/>
      <c r="E33" s="95"/>
      <c r="F33" s="111"/>
    </row>
    <row r="34" spans="1:6" ht="33" customHeight="1">
      <c r="A34" s="17" t="s">
        <v>283</v>
      </c>
      <c r="B34" s="45"/>
      <c r="C34" s="66">
        <f>F34+C15-C33</f>
        <v>0</v>
      </c>
      <c r="D34" s="82"/>
      <c r="E34" s="96" t="s">
        <v>285</v>
      </c>
      <c r="F34" s="112"/>
    </row>
    <row r="35" spans="1:6" ht="17.25" customHeight="1">
      <c r="A35" s="18"/>
      <c r="B35" s="18"/>
      <c r="C35" s="67"/>
      <c r="D35" s="83"/>
      <c r="E35" s="97"/>
      <c r="F35" s="97"/>
    </row>
    <row r="36" spans="1:6" ht="17.25" customHeight="1">
      <c r="A36" s="19" t="s">
        <v>281</v>
      </c>
      <c r="B36" s="19"/>
      <c r="C36" s="19"/>
      <c r="D36" s="12"/>
      <c r="E36" s="12"/>
      <c r="F36" s="12" t="s">
        <v>96</v>
      </c>
    </row>
    <row r="37" spans="1:6" ht="17.25" customHeight="1">
      <c r="A37" s="20" t="s">
        <v>117</v>
      </c>
      <c r="B37" s="46" t="s">
        <v>169</v>
      </c>
      <c r="C37" s="46" t="s">
        <v>116</v>
      </c>
      <c r="D37" s="84"/>
      <c r="E37" s="98" t="s">
        <v>113</v>
      </c>
      <c r="F37" s="113"/>
    </row>
    <row r="38" spans="1:6" ht="17.25" customHeight="1">
      <c r="A38" s="21"/>
      <c r="B38" s="47" t="s">
        <v>170</v>
      </c>
      <c r="C38" s="68" t="s">
        <v>170</v>
      </c>
      <c r="D38" s="47" t="s">
        <v>155</v>
      </c>
      <c r="E38" s="68" t="s">
        <v>170</v>
      </c>
      <c r="F38" s="114" t="s">
        <v>171</v>
      </c>
    </row>
    <row r="39" spans="1:6" ht="15" customHeight="1">
      <c r="A39" s="22"/>
      <c r="B39" s="48" t="s">
        <v>279</v>
      </c>
      <c r="C39" s="69" t="s">
        <v>305</v>
      </c>
      <c r="D39" s="85" t="s">
        <v>296</v>
      </c>
      <c r="E39" s="48" t="s">
        <v>306</v>
      </c>
      <c r="F39" s="115" t="s">
        <v>307</v>
      </c>
    </row>
    <row r="40" spans="1:6" ht="15" customHeight="1">
      <c r="A40" s="23"/>
      <c r="B40" s="49"/>
      <c r="C40" s="70"/>
      <c r="D40" s="50"/>
      <c r="E40" s="99" t="str">
        <f t="shared" ref="E40:E76" si="0">IF(B40+C40=0,"",B40+C40)</f>
        <v/>
      </c>
      <c r="F40" s="116" t="str">
        <f t="shared" ref="F40:F76" si="1">IF(D40="","",D40)</f>
        <v/>
      </c>
    </row>
    <row r="41" spans="1:6" ht="15" customHeight="1">
      <c r="A41" s="23"/>
      <c r="B41" s="49"/>
      <c r="C41" s="70"/>
      <c r="D41" s="50"/>
      <c r="E41" s="99" t="str">
        <f t="shared" si="0"/>
        <v/>
      </c>
      <c r="F41" s="116" t="str">
        <f t="shared" si="1"/>
        <v/>
      </c>
    </row>
    <row r="42" spans="1:6" ht="15" customHeight="1">
      <c r="A42" s="23"/>
      <c r="B42" s="49"/>
      <c r="C42" s="70"/>
      <c r="D42" s="50"/>
      <c r="E42" s="99" t="str">
        <f t="shared" si="0"/>
        <v/>
      </c>
      <c r="F42" s="116" t="str">
        <f t="shared" si="1"/>
        <v/>
      </c>
    </row>
    <row r="43" spans="1:6" ht="15" customHeight="1">
      <c r="A43" s="23"/>
      <c r="B43" s="49"/>
      <c r="C43" s="70"/>
      <c r="D43" s="50"/>
      <c r="E43" s="99" t="str">
        <f t="shared" si="0"/>
        <v/>
      </c>
      <c r="F43" s="116" t="str">
        <f t="shared" si="1"/>
        <v/>
      </c>
    </row>
    <row r="44" spans="1:6" ht="15" customHeight="1">
      <c r="A44" s="23"/>
      <c r="B44" s="49"/>
      <c r="C44" s="70"/>
      <c r="D44" s="50"/>
      <c r="E44" s="99" t="str">
        <f t="shared" si="0"/>
        <v/>
      </c>
      <c r="F44" s="116" t="str">
        <f t="shared" si="1"/>
        <v/>
      </c>
    </row>
    <row r="45" spans="1:6" ht="15" customHeight="1">
      <c r="A45" s="23"/>
      <c r="B45" s="49"/>
      <c r="C45" s="70"/>
      <c r="D45" s="50"/>
      <c r="E45" s="99" t="str">
        <f t="shared" si="0"/>
        <v/>
      </c>
      <c r="F45" s="116" t="str">
        <f t="shared" si="1"/>
        <v/>
      </c>
    </row>
    <row r="46" spans="1:6" ht="15" customHeight="1">
      <c r="A46" s="24"/>
      <c r="B46" s="50"/>
      <c r="C46" s="71"/>
      <c r="D46" s="50"/>
      <c r="E46" s="100" t="str">
        <f t="shared" si="0"/>
        <v/>
      </c>
      <c r="F46" s="117" t="str">
        <f t="shared" si="1"/>
        <v/>
      </c>
    </row>
    <row r="47" spans="1:6" ht="15" customHeight="1">
      <c r="A47" s="23"/>
      <c r="B47" s="49"/>
      <c r="C47" s="70"/>
      <c r="D47" s="49"/>
      <c r="E47" s="99" t="str">
        <f t="shared" si="0"/>
        <v/>
      </c>
      <c r="F47" s="116" t="str">
        <f t="shared" si="1"/>
        <v/>
      </c>
    </row>
    <row r="48" spans="1:6" ht="15" customHeight="1">
      <c r="A48" s="23"/>
      <c r="B48" s="49"/>
      <c r="C48" s="70"/>
      <c r="D48" s="50"/>
      <c r="E48" s="99" t="str">
        <f t="shared" si="0"/>
        <v/>
      </c>
      <c r="F48" s="116" t="str">
        <f t="shared" si="1"/>
        <v/>
      </c>
    </row>
    <row r="49" spans="1:6" ht="15" customHeight="1">
      <c r="A49" s="23"/>
      <c r="B49" s="49"/>
      <c r="C49" s="70"/>
      <c r="D49" s="50"/>
      <c r="E49" s="99" t="str">
        <f t="shared" si="0"/>
        <v/>
      </c>
      <c r="F49" s="116" t="str">
        <f t="shared" si="1"/>
        <v/>
      </c>
    </row>
    <row r="50" spans="1:6" ht="15" customHeight="1">
      <c r="A50" s="23"/>
      <c r="B50" s="49"/>
      <c r="C50" s="70"/>
      <c r="D50" s="50"/>
      <c r="E50" s="99" t="str">
        <f t="shared" si="0"/>
        <v/>
      </c>
      <c r="F50" s="116" t="str">
        <f t="shared" si="1"/>
        <v/>
      </c>
    </row>
    <row r="51" spans="1:6" ht="15" customHeight="1">
      <c r="A51" s="24"/>
      <c r="B51" s="50"/>
      <c r="C51" s="71"/>
      <c r="D51" s="50"/>
      <c r="E51" s="100" t="str">
        <f t="shared" si="0"/>
        <v/>
      </c>
      <c r="F51" s="117" t="str">
        <f t="shared" si="1"/>
        <v/>
      </c>
    </row>
    <row r="52" spans="1:6" ht="15" customHeight="1">
      <c r="A52" s="23"/>
      <c r="B52" s="49"/>
      <c r="C52" s="70"/>
      <c r="D52" s="49"/>
      <c r="E52" s="101" t="str">
        <f t="shared" si="0"/>
        <v/>
      </c>
      <c r="F52" s="116" t="str">
        <f t="shared" si="1"/>
        <v/>
      </c>
    </row>
    <row r="53" spans="1:6" ht="15" customHeight="1">
      <c r="A53" s="23"/>
      <c r="B53" s="49"/>
      <c r="C53" s="70"/>
      <c r="D53" s="50"/>
      <c r="E53" s="101" t="str">
        <f t="shared" si="0"/>
        <v/>
      </c>
      <c r="F53" s="116" t="str">
        <f t="shared" si="1"/>
        <v/>
      </c>
    </row>
    <row r="54" spans="1:6" ht="15" customHeight="1">
      <c r="A54" s="23"/>
      <c r="B54" s="49"/>
      <c r="C54" s="70"/>
      <c r="D54" s="50"/>
      <c r="E54" s="101" t="str">
        <f t="shared" si="0"/>
        <v/>
      </c>
      <c r="F54" s="116" t="str">
        <f t="shared" si="1"/>
        <v/>
      </c>
    </row>
    <row r="55" spans="1:6" ht="15" customHeight="1">
      <c r="A55" s="23"/>
      <c r="B55" s="49"/>
      <c r="C55" s="70"/>
      <c r="D55" s="50"/>
      <c r="E55" s="101" t="str">
        <f t="shared" si="0"/>
        <v/>
      </c>
      <c r="F55" s="116" t="str">
        <f t="shared" si="1"/>
        <v/>
      </c>
    </row>
    <row r="56" spans="1:6" ht="15" customHeight="1">
      <c r="A56" s="23"/>
      <c r="B56" s="49"/>
      <c r="C56" s="70"/>
      <c r="D56" s="50"/>
      <c r="E56" s="101" t="str">
        <f t="shared" si="0"/>
        <v/>
      </c>
      <c r="F56" s="116" t="str">
        <f t="shared" si="1"/>
        <v/>
      </c>
    </row>
    <row r="57" spans="1:6" ht="15" customHeight="1">
      <c r="A57" s="23"/>
      <c r="B57" s="49"/>
      <c r="C57" s="70"/>
      <c r="D57" s="50"/>
      <c r="E57" s="101" t="str">
        <f t="shared" si="0"/>
        <v/>
      </c>
      <c r="F57" s="116" t="str">
        <f t="shared" si="1"/>
        <v/>
      </c>
    </row>
    <row r="58" spans="1:6" ht="15" customHeight="1">
      <c r="A58" s="23"/>
      <c r="B58" s="49"/>
      <c r="C58" s="70"/>
      <c r="D58" s="50"/>
      <c r="E58" s="101" t="str">
        <f t="shared" si="0"/>
        <v/>
      </c>
      <c r="F58" s="116" t="str">
        <f t="shared" si="1"/>
        <v/>
      </c>
    </row>
    <row r="59" spans="1:6" ht="15" customHeight="1">
      <c r="A59" s="23"/>
      <c r="B59" s="49"/>
      <c r="C59" s="70"/>
      <c r="D59" s="50"/>
      <c r="E59" s="101" t="str">
        <f t="shared" si="0"/>
        <v/>
      </c>
      <c r="F59" s="116" t="str">
        <f t="shared" si="1"/>
        <v/>
      </c>
    </row>
    <row r="60" spans="1:6" ht="15" customHeight="1">
      <c r="A60" s="23"/>
      <c r="B60" s="49"/>
      <c r="C60" s="70"/>
      <c r="D60" s="50"/>
      <c r="E60" s="101" t="str">
        <f t="shared" si="0"/>
        <v/>
      </c>
      <c r="F60" s="116" t="str">
        <f t="shared" si="1"/>
        <v/>
      </c>
    </row>
    <row r="61" spans="1:6" ht="15" customHeight="1">
      <c r="A61" s="23"/>
      <c r="B61" s="49"/>
      <c r="C61" s="70"/>
      <c r="D61" s="50"/>
      <c r="E61" s="101" t="str">
        <f t="shared" si="0"/>
        <v/>
      </c>
      <c r="F61" s="116" t="str">
        <f t="shared" si="1"/>
        <v/>
      </c>
    </row>
    <row r="62" spans="1:6" ht="15" customHeight="1">
      <c r="A62" s="23"/>
      <c r="B62" s="49"/>
      <c r="C62" s="70"/>
      <c r="D62" s="50"/>
      <c r="E62" s="101" t="str">
        <f t="shared" si="0"/>
        <v/>
      </c>
      <c r="F62" s="116" t="str">
        <f t="shared" si="1"/>
        <v/>
      </c>
    </row>
    <row r="63" spans="1:6" ht="15" customHeight="1">
      <c r="A63" s="23"/>
      <c r="B63" s="49"/>
      <c r="C63" s="70"/>
      <c r="D63" s="50"/>
      <c r="E63" s="101" t="str">
        <f t="shared" si="0"/>
        <v/>
      </c>
      <c r="F63" s="116" t="str">
        <f t="shared" si="1"/>
        <v/>
      </c>
    </row>
    <row r="64" spans="1:6" ht="15" customHeight="1">
      <c r="A64" s="23"/>
      <c r="B64" s="49"/>
      <c r="C64" s="70"/>
      <c r="D64" s="50"/>
      <c r="E64" s="101" t="str">
        <f t="shared" si="0"/>
        <v/>
      </c>
      <c r="F64" s="116" t="str">
        <f t="shared" si="1"/>
        <v/>
      </c>
    </row>
    <row r="65" spans="1:6" ht="15" customHeight="1">
      <c r="A65" s="23"/>
      <c r="B65" s="49"/>
      <c r="C65" s="70"/>
      <c r="D65" s="50"/>
      <c r="E65" s="101" t="str">
        <f t="shared" si="0"/>
        <v/>
      </c>
      <c r="F65" s="116" t="str">
        <f t="shared" si="1"/>
        <v/>
      </c>
    </row>
    <row r="66" spans="1:6" ht="15" customHeight="1">
      <c r="A66" s="23"/>
      <c r="B66" s="49"/>
      <c r="C66" s="70"/>
      <c r="D66" s="50"/>
      <c r="E66" s="101" t="str">
        <f t="shared" si="0"/>
        <v/>
      </c>
      <c r="F66" s="116" t="str">
        <f t="shared" si="1"/>
        <v/>
      </c>
    </row>
    <row r="67" spans="1:6" ht="15" customHeight="1">
      <c r="A67" s="23"/>
      <c r="B67" s="49"/>
      <c r="C67" s="70"/>
      <c r="D67" s="50"/>
      <c r="E67" s="101" t="str">
        <f t="shared" si="0"/>
        <v/>
      </c>
      <c r="F67" s="116" t="str">
        <f t="shared" si="1"/>
        <v/>
      </c>
    </row>
    <row r="68" spans="1:6" ht="15" customHeight="1">
      <c r="A68" s="23"/>
      <c r="B68" s="49"/>
      <c r="C68" s="70"/>
      <c r="D68" s="50"/>
      <c r="E68" s="101" t="str">
        <f t="shared" si="0"/>
        <v/>
      </c>
      <c r="F68" s="116" t="str">
        <f t="shared" si="1"/>
        <v/>
      </c>
    </row>
    <row r="69" spans="1:6" ht="15" customHeight="1">
      <c r="A69" s="23"/>
      <c r="B69" s="49"/>
      <c r="C69" s="70"/>
      <c r="D69" s="50"/>
      <c r="E69" s="101" t="str">
        <f t="shared" si="0"/>
        <v/>
      </c>
      <c r="F69" s="116" t="str">
        <f t="shared" si="1"/>
        <v/>
      </c>
    </row>
    <row r="70" spans="1:6" ht="15" customHeight="1">
      <c r="A70" s="23"/>
      <c r="B70" s="49"/>
      <c r="C70" s="70"/>
      <c r="D70" s="50"/>
      <c r="E70" s="101" t="str">
        <f t="shared" si="0"/>
        <v/>
      </c>
      <c r="F70" s="116" t="str">
        <f t="shared" si="1"/>
        <v/>
      </c>
    </row>
    <row r="71" spans="1:6" ht="15" customHeight="1">
      <c r="A71" s="23"/>
      <c r="B71" s="49"/>
      <c r="C71" s="70"/>
      <c r="D71" s="50"/>
      <c r="E71" s="101" t="str">
        <f t="shared" si="0"/>
        <v/>
      </c>
      <c r="F71" s="116" t="str">
        <f t="shared" si="1"/>
        <v/>
      </c>
    </row>
    <row r="72" spans="1:6" ht="15" customHeight="1">
      <c r="A72" s="23"/>
      <c r="B72" s="49"/>
      <c r="C72" s="70"/>
      <c r="D72" s="50"/>
      <c r="E72" s="101" t="str">
        <f t="shared" si="0"/>
        <v/>
      </c>
      <c r="F72" s="116" t="str">
        <f t="shared" si="1"/>
        <v/>
      </c>
    </row>
    <row r="73" spans="1:6" ht="15" customHeight="1">
      <c r="A73" s="23"/>
      <c r="B73" s="49"/>
      <c r="C73" s="70"/>
      <c r="D73" s="50"/>
      <c r="E73" s="101" t="str">
        <f t="shared" si="0"/>
        <v/>
      </c>
      <c r="F73" s="116" t="str">
        <f t="shared" si="1"/>
        <v/>
      </c>
    </row>
    <row r="74" spans="1:6" ht="15" customHeight="1">
      <c r="A74" s="23"/>
      <c r="B74" s="49"/>
      <c r="C74" s="70"/>
      <c r="D74" s="50"/>
      <c r="E74" s="101" t="str">
        <f t="shared" si="0"/>
        <v/>
      </c>
      <c r="F74" s="116" t="str">
        <f t="shared" si="1"/>
        <v/>
      </c>
    </row>
    <row r="75" spans="1:6" ht="15" customHeight="1">
      <c r="A75" s="23"/>
      <c r="B75" s="49"/>
      <c r="C75" s="70"/>
      <c r="D75" s="50"/>
      <c r="E75" s="101" t="str">
        <f t="shared" si="0"/>
        <v/>
      </c>
      <c r="F75" s="116" t="str">
        <f t="shared" si="1"/>
        <v/>
      </c>
    </row>
    <row r="76" spans="1:6" ht="15" customHeight="1">
      <c r="A76" s="23"/>
      <c r="B76" s="49"/>
      <c r="C76" s="70"/>
      <c r="D76" s="50"/>
      <c r="E76" s="101" t="str">
        <f t="shared" si="0"/>
        <v/>
      </c>
      <c r="F76" s="116" t="str">
        <f t="shared" si="1"/>
        <v/>
      </c>
    </row>
    <row r="77" spans="1:6" ht="15" customHeight="1">
      <c r="A77" s="25">
        <f>COUNTA(A47:A76,A40:A46)</f>
        <v>0</v>
      </c>
      <c r="B77" s="51" t="str">
        <f>IF(SUM(B40:B46,B47:B76)=0,"",SUM(B40:B46,B47:B76))</f>
        <v/>
      </c>
      <c r="C77" s="51" t="str">
        <f>IF(SUM(C40:C46,C47:C76)=0,"",SUM(C40:C46,C47:C76))</f>
        <v/>
      </c>
      <c r="D77" s="51" t="str">
        <f>IF(SUM(D40:D46,D47:D76)=0,"",SUM(D40:D46,D47:D76))</f>
        <v/>
      </c>
      <c r="E77" s="51" t="str">
        <f>IF(SUM(E40:E46,E47:E76)=0,"",SUM(E40:E46,E47:E76))</f>
        <v/>
      </c>
      <c r="F77" s="118" t="str">
        <f>IF(SUM(F40:F46,F47:F76)=0,"",SUM(F40:F46,F47:F76))</f>
        <v/>
      </c>
    </row>
    <row r="78" spans="1:6" ht="14.25" customHeight="1">
      <c r="A78" s="26"/>
      <c r="B78" s="52"/>
      <c r="C78" s="52"/>
      <c r="D78" s="52"/>
      <c r="E78" s="52"/>
      <c r="F78" s="52"/>
    </row>
    <row r="79" spans="1:6" ht="14.25" customHeight="1">
      <c r="A79" s="27"/>
      <c r="B79" s="53"/>
      <c r="C79" s="53"/>
      <c r="D79" s="53"/>
      <c r="E79" s="27"/>
      <c r="F79" s="119"/>
    </row>
    <row r="80" spans="1:6" ht="14.25" customHeight="1">
      <c r="A80" s="28">
        <f>A9</f>
        <v>7</v>
      </c>
      <c r="B80" s="28"/>
      <c r="C80" s="28"/>
      <c r="D80" s="28"/>
      <c r="E80" s="28"/>
      <c r="F80" s="28"/>
    </row>
    <row r="81" spans="1:6" ht="14.25" customHeight="1">
      <c r="A81" s="29"/>
      <c r="B81" s="31"/>
      <c r="C81" s="31"/>
      <c r="D81" s="31"/>
      <c r="E81" s="29"/>
      <c r="F81" s="120"/>
    </row>
    <row r="82" spans="1:6" ht="14.25" customHeight="1">
      <c r="A82" s="30" t="s">
        <v>148</v>
      </c>
      <c r="B82" s="30"/>
      <c r="C82" s="30"/>
      <c r="D82" s="30"/>
      <c r="E82" s="30"/>
      <c r="F82" s="30"/>
    </row>
    <row r="83" spans="1:6" ht="14.25" customHeight="1">
      <c r="A83" s="30"/>
      <c r="B83" s="30"/>
      <c r="C83" s="30"/>
      <c r="D83" s="30"/>
      <c r="E83" s="30"/>
      <c r="F83" s="30"/>
    </row>
    <row r="84" spans="1:6" ht="14.25" customHeight="1">
      <c r="A84" s="31"/>
      <c r="B84" s="31"/>
      <c r="C84" s="31"/>
      <c r="D84" s="31"/>
      <c r="E84" s="29"/>
      <c r="F84" s="120"/>
    </row>
    <row r="85" spans="1:6" ht="14.25" customHeight="1">
      <c r="A85" s="32" t="s">
        <v>128</v>
      </c>
      <c r="B85" s="32"/>
      <c r="D85" s="31"/>
      <c r="E85" s="29"/>
      <c r="F85" s="120"/>
    </row>
    <row r="86" spans="1:6" ht="14.25" customHeight="1">
      <c r="A86" s="31"/>
      <c r="B86" s="31"/>
      <c r="C86" s="29" t="str">
        <f>A3</f>
        <v>邑南町長   大屋　光宏　</v>
      </c>
      <c r="D86" s="29"/>
      <c r="E86" s="102" t="s">
        <v>298</v>
      </c>
      <c r="F86" s="121"/>
    </row>
    <row r="87" spans="1:6" ht="14.25" customHeight="1">
      <c r="A87" s="33"/>
      <c r="B87" s="54"/>
      <c r="C87" s="54"/>
      <c r="D87" s="54"/>
      <c r="E87" s="54"/>
      <c r="F87" s="54"/>
    </row>
    <row r="88" spans="1:6">
      <c r="A88" s="34" t="s">
        <v>254</v>
      </c>
      <c r="B88" s="34"/>
      <c r="C88" s="34"/>
      <c r="D88" s="34"/>
      <c r="E88" s="34"/>
      <c r="F88" s="34"/>
    </row>
    <row r="89" spans="1:6">
      <c r="A89" s="34" t="s">
        <v>324</v>
      </c>
      <c r="B89" s="34"/>
      <c r="C89" s="34"/>
      <c r="D89" s="34"/>
      <c r="E89" s="34"/>
      <c r="F89" s="34"/>
    </row>
    <row r="90" spans="1:6">
      <c r="A90" s="34" t="s">
        <v>282</v>
      </c>
      <c r="B90" s="34"/>
      <c r="C90" s="34"/>
      <c r="D90" s="34"/>
      <c r="E90" s="34"/>
      <c r="F90" s="34"/>
    </row>
    <row r="91" spans="1:6">
      <c r="A91" s="35"/>
    </row>
    <row r="92" spans="1:6">
      <c r="B92" s="55"/>
      <c r="C92" s="55"/>
      <c r="D92" s="55"/>
      <c r="E92" s="55"/>
      <c r="F92" s="55"/>
    </row>
    <row r="93" spans="1:6">
      <c r="B93" s="55"/>
      <c r="C93" s="55"/>
      <c r="D93" s="55"/>
      <c r="E93" s="55"/>
      <c r="F93" s="55"/>
    </row>
    <row r="94" spans="1:6">
      <c r="A94" s="36"/>
      <c r="B94" s="36"/>
      <c r="C94" s="36"/>
      <c r="D94" s="36"/>
      <c r="E94" s="36"/>
      <c r="F94" s="36"/>
    </row>
    <row r="95" spans="1:6">
      <c r="A95" s="36"/>
      <c r="B95" s="36"/>
      <c r="C95" s="36"/>
      <c r="D95" s="36"/>
      <c r="E95" s="36"/>
      <c r="F95" s="36"/>
    </row>
    <row r="96" spans="1:6">
      <c r="A96" s="36"/>
      <c r="B96" s="36"/>
      <c r="C96" s="36"/>
      <c r="D96" s="36"/>
      <c r="E96" s="36"/>
      <c r="F96" s="36"/>
    </row>
    <row r="97" spans="1:6">
      <c r="A97" s="36"/>
      <c r="B97" s="36"/>
      <c r="C97" s="36"/>
      <c r="D97" s="36"/>
      <c r="E97" s="36"/>
      <c r="F97" s="36"/>
    </row>
    <row r="98" spans="1:6">
      <c r="A98" s="36"/>
      <c r="B98" s="36"/>
      <c r="C98" s="36"/>
      <c r="D98" s="36"/>
      <c r="E98" s="36"/>
      <c r="F98" s="36"/>
    </row>
    <row r="99" spans="1:6">
      <c r="A99" s="36"/>
      <c r="B99" s="36"/>
      <c r="C99" s="36"/>
      <c r="D99" s="36"/>
      <c r="E99" s="36"/>
      <c r="F99" s="36"/>
    </row>
    <row r="100" spans="1:6">
      <c r="A100" s="36"/>
      <c r="B100" s="36"/>
      <c r="C100" s="36"/>
      <c r="D100" s="36"/>
      <c r="E100" s="36"/>
      <c r="F100" s="36"/>
    </row>
    <row r="101" spans="1:6">
      <c r="A101" s="36"/>
      <c r="B101" s="36"/>
      <c r="C101" s="36"/>
      <c r="D101" s="36"/>
      <c r="E101" s="36"/>
      <c r="F101" s="36"/>
    </row>
    <row r="102" spans="1:6">
      <c r="A102" s="36"/>
      <c r="B102" s="36"/>
      <c r="C102" s="36"/>
      <c r="D102" s="36"/>
      <c r="E102" s="36"/>
      <c r="F102" s="36"/>
    </row>
    <row r="103" spans="1:6">
      <c r="A103" s="36"/>
      <c r="B103" s="36"/>
      <c r="C103" s="36"/>
      <c r="D103" s="36"/>
      <c r="E103" s="36"/>
      <c r="F103" s="36"/>
    </row>
    <row r="104" spans="1:6">
      <c r="A104" s="36"/>
      <c r="B104" s="36"/>
      <c r="C104" s="36"/>
      <c r="D104" s="36"/>
      <c r="E104" s="36"/>
      <c r="F104" s="36"/>
    </row>
    <row r="105" spans="1:6">
      <c r="A105" s="36"/>
      <c r="B105" s="36"/>
      <c r="C105" s="36"/>
      <c r="D105" s="36"/>
      <c r="E105" s="36"/>
      <c r="F105" s="36"/>
    </row>
    <row r="106" spans="1:6" ht="14.25" customHeight="1">
      <c r="A106" s="36"/>
      <c r="B106" s="36"/>
      <c r="C106" s="36"/>
      <c r="D106" s="36"/>
      <c r="E106" s="36"/>
      <c r="F106" s="36"/>
    </row>
    <row r="107" spans="1:6" ht="14.25" customHeight="1">
      <c r="A107" s="36"/>
      <c r="B107" s="36"/>
      <c r="C107" s="36"/>
      <c r="D107" s="36"/>
      <c r="E107" s="36"/>
      <c r="F107" s="36"/>
    </row>
    <row r="108" spans="1:6" ht="14.25" customHeight="1">
      <c r="A108" s="36"/>
      <c r="B108" s="36"/>
      <c r="C108" s="36"/>
      <c r="D108" s="36"/>
      <c r="E108" s="36"/>
      <c r="F108" s="36"/>
    </row>
    <row r="109" spans="1:6" ht="14.25" customHeight="1">
      <c r="A109" s="36"/>
      <c r="B109" s="36"/>
      <c r="C109" s="36"/>
      <c r="D109" s="36"/>
      <c r="E109" s="36"/>
      <c r="F109" s="36"/>
    </row>
    <row r="110" spans="1:6" ht="14.25" customHeight="1">
      <c r="A110" s="36"/>
      <c r="B110" s="36"/>
      <c r="C110" s="36"/>
      <c r="D110" s="36"/>
      <c r="E110" s="36"/>
      <c r="F110" s="36"/>
    </row>
    <row r="111" spans="1:6" ht="14.25" customHeight="1">
      <c r="A111" s="36"/>
      <c r="B111" s="36"/>
      <c r="C111" s="36"/>
      <c r="D111" s="36"/>
      <c r="E111" s="36"/>
      <c r="F111" s="36"/>
    </row>
    <row r="112" spans="1:6" ht="14.25" customHeight="1">
      <c r="A112" s="36"/>
      <c r="B112" s="36"/>
      <c r="C112" s="36"/>
      <c r="D112" s="36"/>
      <c r="E112" s="36"/>
      <c r="F112" s="36"/>
    </row>
    <row r="113" spans="1:6" ht="14.25" customHeight="1">
      <c r="A113" s="36"/>
      <c r="B113" s="36"/>
      <c r="C113" s="36"/>
      <c r="D113" s="36"/>
      <c r="E113" s="36"/>
      <c r="F113" s="36"/>
    </row>
    <row r="114" spans="1:6" ht="14.25" customHeight="1">
      <c r="A114" s="36"/>
      <c r="B114" s="36"/>
      <c r="C114" s="36"/>
      <c r="D114" s="36"/>
      <c r="E114" s="36"/>
      <c r="F114" s="36"/>
    </row>
    <row r="115" spans="1:6" ht="14.25" customHeight="1">
      <c r="A115" s="36"/>
      <c r="B115" s="36"/>
      <c r="C115" s="36"/>
      <c r="D115" s="36"/>
      <c r="E115" s="36"/>
      <c r="F115" s="36"/>
    </row>
    <row r="116" spans="1:6" ht="14.25" customHeight="1">
      <c r="A116" s="36"/>
      <c r="B116" s="36"/>
      <c r="C116" s="36"/>
      <c r="D116" s="36"/>
      <c r="E116" s="36"/>
      <c r="F116" s="36"/>
    </row>
    <row r="117" spans="1:6">
      <c r="A117" s="36"/>
      <c r="B117" s="36"/>
      <c r="C117" s="36"/>
      <c r="D117" s="36"/>
      <c r="E117" s="36"/>
      <c r="F117" s="36"/>
    </row>
    <row r="118" spans="1:6">
      <c r="A118" s="36"/>
      <c r="B118" s="36"/>
      <c r="C118" s="36"/>
      <c r="D118" s="36"/>
      <c r="E118" s="36"/>
      <c r="F118" s="36"/>
    </row>
    <row r="119" spans="1:6">
      <c r="A119" s="36"/>
      <c r="B119" s="36"/>
      <c r="C119" s="36"/>
      <c r="D119" s="36"/>
      <c r="E119" s="36"/>
      <c r="F119" s="36"/>
    </row>
    <row r="120" spans="1:6">
      <c r="A120" s="36"/>
      <c r="B120" s="36"/>
      <c r="C120" s="36"/>
      <c r="D120" s="36"/>
      <c r="E120" s="36"/>
      <c r="F120" s="36"/>
    </row>
    <row r="121" spans="1:6">
      <c r="A121" s="36"/>
      <c r="B121" s="36"/>
      <c r="C121" s="36"/>
      <c r="D121" s="36"/>
      <c r="E121" s="36"/>
      <c r="F121" s="36"/>
    </row>
    <row r="122" spans="1:6">
      <c r="A122" s="36"/>
      <c r="B122" s="36"/>
      <c r="C122" s="36"/>
      <c r="D122" s="36"/>
      <c r="E122" s="36"/>
      <c r="F122" s="36"/>
    </row>
    <row r="123" spans="1:6">
      <c r="A123" s="36"/>
      <c r="B123" s="36"/>
      <c r="C123" s="36"/>
      <c r="D123" s="36"/>
      <c r="E123" s="36"/>
      <c r="F123" s="36"/>
    </row>
    <row r="124" spans="1:6">
      <c r="A124" s="36"/>
      <c r="B124" s="36"/>
      <c r="C124" s="36"/>
      <c r="D124" s="36"/>
      <c r="E124" s="36"/>
      <c r="F124" s="36"/>
    </row>
    <row r="125" spans="1:6">
      <c r="A125" s="36"/>
      <c r="B125" s="36"/>
      <c r="C125" s="36"/>
      <c r="D125" s="36"/>
      <c r="E125" s="36"/>
      <c r="F125" s="36"/>
    </row>
    <row r="126" spans="1:6">
      <c r="A126" s="36"/>
      <c r="B126" s="36"/>
      <c r="C126" s="36"/>
      <c r="D126" s="36"/>
      <c r="E126" s="36"/>
      <c r="F126" s="36"/>
    </row>
    <row r="127" spans="1:6">
      <c r="A127" s="36"/>
      <c r="B127" s="36"/>
      <c r="C127" s="36"/>
      <c r="D127" s="36"/>
      <c r="E127" s="36"/>
      <c r="F127" s="36"/>
    </row>
    <row r="128" spans="1:6">
      <c r="A128" s="36"/>
      <c r="B128" s="36"/>
      <c r="C128" s="36"/>
      <c r="D128" s="36"/>
      <c r="E128" s="36"/>
      <c r="F128" s="36"/>
    </row>
  </sheetData>
  <mergeCells count="84">
    <mergeCell ref="E1:F1"/>
    <mergeCell ref="A3:B3"/>
    <mergeCell ref="C5:D5"/>
    <mergeCell ref="E5:F5"/>
    <mergeCell ref="E6:F6"/>
    <mergeCell ref="E7:F7"/>
    <mergeCell ref="A8:F8"/>
    <mergeCell ref="A9:F9"/>
    <mergeCell ref="A10:F10"/>
    <mergeCell ref="A11:F11"/>
    <mergeCell ref="A13:B13"/>
    <mergeCell ref="C13:D13"/>
    <mergeCell ref="E13:F13"/>
    <mergeCell ref="A14:B14"/>
    <mergeCell ref="C14:D14"/>
    <mergeCell ref="E14:F14"/>
    <mergeCell ref="A15:B15"/>
    <mergeCell ref="C15:D15"/>
    <mergeCell ref="E15:F15"/>
    <mergeCell ref="A16:B16"/>
    <mergeCell ref="C16:D16"/>
    <mergeCell ref="E16:F16"/>
    <mergeCell ref="A17:B17"/>
    <mergeCell ref="C17:D17"/>
    <mergeCell ref="E17:F17"/>
    <mergeCell ref="A19:B19"/>
    <mergeCell ref="C19:D19"/>
    <mergeCell ref="E19:F19"/>
    <mergeCell ref="A20:B20"/>
    <mergeCell ref="C20:D20"/>
    <mergeCell ref="E20:F20"/>
    <mergeCell ref="A21:B21"/>
    <mergeCell ref="C21:D21"/>
    <mergeCell ref="E21:F21"/>
    <mergeCell ref="A22:B22"/>
    <mergeCell ref="C22:D22"/>
    <mergeCell ref="E22:F22"/>
    <mergeCell ref="A23:B23"/>
    <mergeCell ref="C23:D23"/>
    <mergeCell ref="E23:F23"/>
    <mergeCell ref="A24:B24"/>
    <mergeCell ref="C24:D24"/>
    <mergeCell ref="E24:F24"/>
    <mergeCell ref="A25:B25"/>
    <mergeCell ref="C25:D25"/>
    <mergeCell ref="E25:F25"/>
    <mergeCell ref="A26:B26"/>
    <mergeCell ref="C26:D26"/>
    <mergeCell ref="E26:F26"/>
    <mergeCell ref="A27:B27"/>
    <mergeCell ref="C27:D27"/>
    <mergeCell ref="E27:F27"/>
    <mergeCell ref="A28:B28"/>
    <mergeCell ref="C28:D28"/>
    <mergeCell ref="E28:F28"/>
    <mergeCell ref="A29:B29"/>
    <mergeCell ref="C29:D29"/>
    <mergeCell ref="E29:F29"/>
    <mergeCell ref="A30:B30"/>
    <mergeCell ref="C30:D30"/>
    <mergeCell ref="E30:F30"/>
    <mergeCell ref="A31:B31"/>
    <mergeCell ref="C31:D31"/>
    <mergeCell ref="E31:F31"/>
    <mergeCell ref="A32:B32"/>
    <mergeCell ref="C32:D32"/>
    <mergeCell ref="E32:F32"/>
    <mergeCell ref="A33:B33"/>
    <mergeCell ref="C33:D33"/>
    <mergeCell ref="E33:F33"/>
    <mergeCell ref="A34:B34"/>
    <mergeCell ref="C34:D34"/>
    <mergeCell ref="A36:C36"/>
    <mergeCell ref="C37:D37"/>
    <mergeCell ref="E37:F37"/>
    <mergeCell ref="A80:F80"/>
    <mergeCell ref="C86:D86"/>
    <mergeCell ref="A88:F88"/>
    <mergeCell ref="A89:F89"/>
    <mergeCell ref="A90:F90"/>
    <mergeCell ref="C92:D92"/>
    <mergeCell ref="E92:F92"/>
    <mergeCell ref="A37:A38"/>
    <mergeCell ref="A82:F83"/>
  </mergeCells>
  <phoneticPr fontId="7"/>
  <dataValidations count="2">
    <dataValidation type="list" allowBlank="1" showDropDown="0" showInputMessage="1" showErrorMessage="1" sqref="E16:F16">
      <formula1>"面積・単価で按分,均等割りで按分,協定で定める方法により按分"</formula1>
    </dataValidation>
    <dataValidation type="list" allowBlank="1" showDropDown="0" showInputMessage="1" showErrorMessage="0" sqref="E14:F15">
      <formula1>"面積・単価で按分,均等割りで按分,協定で定める方法により按分"</formula1>
    </dataValidation>
  </dataValidations>
  <printOptions horizontalCentered="1"/>
  <pageMargins left="0.59055118110236227" right="0.39370078740157483" top="0.59055118110236227" bottom="0.59055118110236227" header="0.51181102362204722" footer="0.31496062992125984"/>
  <pageSetup paperSize="9" scale="98" fitToWidth="1" fitToHeight="1" orientation="portrait" usePrinterDefaults="1" r:id="rId1"/>
  <headerFooter alignWithMargins="0">
    <oddFooter>&amp;R&amp;A</oddFooter>
  </headerFooter>
  <rowBreaks count="1" manualBreakCount="1">
    <brk id="35" max="5" man="1"/>
  </rowBreaks>
</worksheet>
</file>

<file path=xl/worksheets/sheet10.xml><?xml version="1.0" encoding="utf-8"?>
<worksheet xmlns="http://schemas.openxmlformats.org/spreadsheetml/2006/main" xmlns:r="http://schemas.openxmlformats.org/officeDocument/2006/relationships" xmlns:mc="http://schemas.openxmlformats.org/markup-compatibility/2006">
  <dimension ref="B2:M518"/>
  <sheetViews>
    <sheetView showGridLines="0" view="pageBreakPreview" zoomScale="85" zoomScaleSheetLayoutView="85" workbookViewId="0">
      <selection activeCell="I129" sqref="I129"/>
    </sheetView>
  </sheetViews>
  <sheetFormatPr defaultRowHeight="13.5"/>
  <cols>
    <col min="1" max="1" width="1.375" style="1" customWidth="1"/>
    <col min="2" max="2" width="12.625" style="1" customWidth="1"/>
    <col min="3" max="3" width="12.125" style="1" customWidth="1"/>
    <col min="4" max="4" width="0.25" style="1" customWidth="1"/>
    <col min="5" max="5" width="12.125" style="1" customWidth="1"/>
    <col min="6" max="6" width="11.625" style="1" customWidth="1"/>
    <col min="7" max="8" width="15.625" style="1" customWidth="1"/>
    <col min="9" max="10" width="12.625" style="1" customWidth="1"/>
    <col min="11" max="11" width="0.25" style="1" customWidth="1"/>
    <col min="12" max="12" width="14.125" style="1" customWidth="1"/>
    <col min="13" max="13" width="17.75" style="1" customWidth="1"/>
    <col min="14" max="16384" width="9" style="1" customWidth="1"/>
  </cols>
  <sheetData>
    <row r="2" spans="2:13" ht="14.25">
      <c r="E2" s="460" t="s">
        <v>247</v>
      </c>
      <c r="F2" s="460"/>
      <c r="G2" s="460"/>
      <c r="H2" s="460"/>
      <c r="I2" s="460"/>
      <c r="J2" s="460"/>
    </row>
    <row r="4" spans="2:13" ht="12.75" customHeight="1">
      <c r="J4" s="209"/>
    </row>
    <row r="5" spans="2:13" ht="13.5" customHeight="1">
      <c r="F5" s="209" t="s">
        <v>39</v>
      </c>
      <c r="G5" s="446" t="str">
        <f>IF($J5="","",'17-1（所得細目表　記載例）'!$J$2)</f>
        <v>〇〇〇〇</v>
      </c>
      <c r="H5" s="450" t="s">
        <v>204</v>
      </c>
      <c r="I5" s="450"/>
      <c r="J5" s="456">
        <f>IF('17-1（所得細目表　記載例）'!$B9="","",'17-1（所得細目表　記載例）'!$B9)</f>
        <v>1</v>
      </c>
      <c r="L5" s="209" t="str">
        <f>VLOOKUP($J5,'17-1（所得細目表　記載例）'!$B$9:$M$29,2,0)</f>
        <v>島根　１郎</v>
      </c>
      <c r="M5" s="458" t="s">
        <v>207</v>
      </c>
    </row>
    <row r="6" spans="2:13">
      <c r="D6" s="273"/>
      <c r="K6" s="273"/>
    </row>
    <row r="7" spans="2:13">
      <c r="B7" s="437" t="s">
        <v>140</v>
      </c>
      <c r="C7" s="441" t="s">
        <v>99</v>
      </c>
      <c r="E7" s="437" t="s">
        <v>186</v>
      </c>
      <c r="F7" s="437" t="s">
        <v>187</v>
      </c>
      <c r="G7" s="447"/>
      <c r="H7" s="451"/>
      <c r="I7" s="447" t="s">
        <v>33</v>
      </c>
      <c r="J7" s="441" t="s">
        <v>60</v>
      </c>
      <c r="L7" s="437" t="s">
        <v>172</v>
      </c>
      <c r="M7" s="459"/>
    </row>
    <row r="8" spans="2:13">
      <c r="B8" s="438" t="s">
        <v>105</v>
      </c>
      <c r="C8" s="442" t="s">
        <v>3</v>
      </c>
      <c r="E8" s="438" t="s">
        <v>86</v>
      </c>
      <c r="F8" s="438" t="s">
        <v>208</v>
      </c>
      <c r="G8" s="448" t="s">
        <v>110</v>
      </c>
      <c r="H8" s="452" t="s">
        <v>210</v>
      </c>
      <c r="I8" s="455" t="s">
        <v>53</v>
      </c>
      <c r="J8" s="442" t="s">
        <v>192</v>
      </c>
      <c r="L8" s="438" t="s">
        <v>193</v>
      </c>
      <c r="M8" s="442" t="s">
        <v>189</v>
      </c>
    </row>
    <row r="9" spans="2:13">
      <c r="B9" s="439"/>
      <c r="C9" s="443" t="s">
        <v>195</v>
      </c>
      <c r="D9" s="444"/>
      <c r="E9" s="439" t="s">
        <v>196</v>
      </c>
      <c r="F9" s="439"/>
      <c r="G9" s="449" t="s">
        <v>69</v>
      </c>
      <c r="H9" s="453" t="s">
        <v>211</v>
      </c>
      <c r="I9" s="454" t="s">
        <v>199</v>
      </c>
      <c r="J9" s="443"/>
      <c r="K9" s="457"/>
      <c r="L9" s="439" t="s">
        <v>200</v>
      </c>
      <c r="M9" s="443" t="s">
        <v>201</v>
      </c>
    </row>
    <row r="10" spans="2:13" ht="30.75" customHeight="1">
      <c r="B10" s="390">
        <f>VLOOKUP($J5,'17-1（所得細目表　記載例）'!$B$9:$M$29,3,0)</f>
        <v>47071</v>
      </c>
      <c r="C10" s="390">
        <f>VLOOKUP($J5,'17-1（所得細目表　記載例）'!$B$9:$M$29,4,0)</f>
        <v>51000</v>
      </c>
      <c r="D10" s="390"/>
      <c r="E10" s="390">
        <f>VLOOKUP($J5,'17-1（所得細目表　記載例）'!$B$9:$M$29,5,0)</f>
        <v>98071</v>
      </c>
      <c r="F10" s="390">
        <f>VLOOKUP($J5,'17-1（所得細目表　記載例）'!$B$9:$M$29,6,0)</f>
        <v>39905</v>
      </c>
      <c r="G10" s="390">
        <f>VLOOKUP($J5,'17-1（所得細目表　記載例）'!$B$9:$M$29,7,0)</f>
        <v>0</v>
      </c>
      <c r="H10" s="390">
        <f>VLOOKUP($J5,'17-1（所得細目表　記載例）'!$B$9:$M$29,8,0)</f>
        <v>20000</v>
      </c>
      <c r="I10" s="390">
        <f>VLOOKUP($J5,'17-1（所得細目表　記載例）'!$B$9:$M$29,9,0)</f>
        <v>19905</v>
      </c>
      <c r="J10" s="390">
        <f>VLOOKUP($J5,'17-1（所得細目表　記載例）'!$B$9:$M$29,10,0)</f>
        <v>108162</v>
      </c>
      <c r="K10" s="390"/>
      <c r="L10" s="390">
        <f>VLOOKUP($J5,'17-1（所得細目表　記載例）'!$B$9:$M$29,11,0)</f>
        <v>128067</v>
      </c>
      <c r="M10" s="390">
        <f>VLOOKUP($J5,'17-1（所得細目表　記載例）'!$B$9:$M$29,12,0)</f>
        <v>-29996</v>
      </c>
    </row>
    <row r="12" spans="2:13">
      <c r="C12" s="1" t="s">
        <v>213</v>
      </c>
    </row>
    <row r="14" spans="2:13">
      <c r="B14" s="440"/>
      <c r="C14" s="440"/>
      <c r="D14" s="440"/>
      <c r="E14" s="440"/>
      <c r="F14" s="440"/>
      <c r="G14" s="440"/>
      <c r="H14" s="440"/>
      <c r="I14" s="440"/>
      <c r="J14" s="440"/>
      <c r="K14" s="440"/>
      <c r="L14" s="440"/>
      <c r="M14" s="440"/>
    </row>
    <row r="16" spans="2:13" ht="14.25">
      <c r="E16" s="460" t="str">
        <f>$E$2</f>
        <v>中山間地域等直接支払交付金に係る所得計算表(令和８年)</v>
      </c>
      <c r="F16" s="460"/>
      <c r="G16" s="460"/>
      <c r="H16" s="460"/>
      <c r="I16" s="460"/>
      <c r="J16" s="460"/>
    </row>
    <row r="18" spans="2:13" ht="14.25">
      <c r="H18" s="209"/>
      <c r="I18" s="209"/>
      <c r="J18" s="209"/>
    </row>
    <row r="19" spans="2:13" ht="14.25">
      <c r="F19" s="209" t="s">
        <v>39</v>
      </c>
      <c r="G19" s="446" t="str">
        <f>IF($J19="","",'17-1（所得細目表　記載例）'!$J$2)</f>
        <v>〇〇〇〇</v>
      </c>
      <c r="H19" s="450" t="s">
        <v>204</v>
      </c>
      <c r="I19" s="450"/>
      <c r="J19" s="456">
        <f>IF('17-1（所得細目表　記載例）'!$B10="","",'17-1（所得細目表　記載例）'!$B10)</f>
        <v>2</v>
      </c>
      <c r="L19" s="209" t="str">
        <f>VLOOKUP($J19,'17-1（所得細目表　記載例）'!$B$9:$M$29,2,0)</f>
        <v>島根　２郎</v>
      </c>
      <c r="M19" s="458" t="s">
        <v>207</v>
      </c>
    </row>
    <row r="20" spans="2:13">
      <c r="D20" s="273"/>
      <c r="K20" s="273"/>
    </row>
    <row r="21" spans="2:13">
      <c r="B21" s="437" t="s">
        <v>140</v>
      </c>
      <c r="C21" s="441" t="s">
        <v>99</v>
      </c>
      <c r="E21" s="437" t="s">
        <v>186</v>
      </c>
      <c r="F21" s="437" t="s">
        <v>187</v>
      </c>
      <c r="G21" s="447"/>
      <c r="H21" s="451"/>
      <c r="I21" s="447" t="s">
        <v>33</v>
      </c>
      <c r="J21" s="441" t="s">
        <v>60</v>
      </c>
      <c r="L21" s="437" t="s">
        <v>172</v>
      </c>
      <c r="M21" s="459"/>
    </row>
    <row r="22" spans="2:13">
      <c r="B22" s="438" t="s">
        <v>105</v>
      </c>
      <c r="C22" s="442" t="s">
        <v>3</v>
      </c>
      <c r="E22" s="438" t="s">
        <v>86</v>
      </c>
      <c r="F22" s="438" t="s">
        <v>208</v>
      </c>
      <c r="G22" s="448" t="s">
        <v>110</v>
      </c>
      <c r="H22" s="452" t="s">
        <v>210</v>
      </c>
      <c r="I22" s="455" t="s">
        <v>53</v>
      </c>
      <c r="J22" s="442" t="s">
        <v>192</v>
      </c>
      <c r="L22" s="438" t="s">
        <v>193</v>
      </c>
      <c r="M22" s="442" t="s">
        <v>189</v>
      </c>
    </row>
    <row r="23" spans="2:13">
      <c r="B23" s="439"/>
      <c r="C23" s="443" t="s">
        <v>195</v>
      </c>
      <c r="D23" s="444"/>
      <c r="E23" s="439" t="s">
        <v>196</v>
      </c>
      <c r="F23" s="439"/>
      <c r="G23" s="449" t="s">
        <v>69</v>
      </c>
      <c r="H23" s="453" t="s">
        <v>211</v>
      </c>
      <c r="I23" s="454" t="s">
        <v>199</v>
      </c>
      <c r="J23" s="443"/>
      <c r="K23" s="457"/>
      <c r="L23" s="439" t="s">
        <v>200</v>
      </c>
      <c r="M23" s="443" t="s">
        <v>201</v>
      </c>
    </row>
    <row r="24" spans="2:13" ht="30.75" customHeight="1">
      <c r="B24" s="390">
        <f>VLOOKUP($J19,'17-1（所得細目表　記載例）'!$B$9:$M$29,3,0)</f>
        <v>99984</v>
      </c>
      <c r="C24" s="390">
        <f>VLOOKUP($J19,'17-1（所得細目表　記載例）'!$B$9:$M$29,4,0)</f>
        <v>48000</v>
      </c>
      <c r="D24" s="390"/>
      <c r="E24" s="390">
        <f>VLOOKUP($J19,'17-1（所得細目表　記載例）'!$B$9:$M$29,5,0)</f>
        <v>147984</v>
      </c>
      <c r="F24" s="390">
        <f>VLOOKUP($J19,'17-1（所得細目表　記載例）'!$B$9:$M$29,6,0)</f>
        <v>56632</v>
      </c>
      <c r="G24" s="390">
        <f>VLOOKUP($J19,'17-1（所得細目表　記載例）'!$B$9:$M$29,7,0)</f>
        <v>0</v>
      </c>
      <c r="H24" s="390">
        <f>VLOOKUP($J19,'17-1（所得細目表　記載例）'!$B$9:$M$29,8,0)</f>
        <v>20000</v>
      </c>
      <c r="I24" s="390">
        <f>VLOOKUP($J19,'17-1（所得細目表　記載例）'!$B$9:$M$29,9,0)</f>
        <v>36632</v>
      </c>
      <c r="J24" s="390">
        <f>VLOOKUP($J19,'17-1（所得細目表　記載例）'!$B$9:$M$29,10,0)</f>
        <v>70661</v>
      </c>
      <c r="K24" s="390"/>
      <c r="L24" s="390">
        <f>VLOOKUP($J19,'17-1（所得細目表　記載例）'!$B$9:$M$29,11,0)</f>
        <v>107293</v>
      </c>
      <c r="M24" s="390">
        <f>VLOOKUP($J19,'17-1（所得細目表　記載例）'!$B$9:$M$29,12,0)</f>
        <v>40691</v>
      </c>
    </row>
    <row r="26" spans="2:13">
      <c r="C26" s="1" t="s">
        <v>213</v>
      </c>
    </row>
    <row r="28" spans="2:13">
      <c r="B28" s="440"/>
      <c r="C28" s="440"/>
      <c r="D28" s="440"/>
      <c r="E28" s="440"/>
      <c r="F28" s="440"/>
      <c r="G28" s="440"/>
      <c r="H28" s="440"/>
      <c r="I28" s="440"/>
      <c r="J28" s="440"/>
      <c r="K28" s="440"/>
      <c r="L28" s="440"/>
      <c r="M28" s="440"/>
    </row>
    <row r="30" spans="2:13" ht="14.25">
      <c r="E30" s="460" t="str">
        <f>$E$2</f>
        <v>中山間地域等直接支払交付金に係る所得計算表(令和８年)</v>
      </c>
      <c r="F30" s="460"/>
      <c r="G30" s="460"/>
      <c r="H30" s="460"/>
      <c r="I30" s="460"/>
      <c r="J30" s="460"/>
    </row>
    <row r="32" spans="2:13" ht="14.25">
      <c r="H32" s="209"/>
      <c r="I32" s="209"/>
      <c r="J32" s="209"/>
    </row>
    <row r="33" spans="2:13" ht="14.25">
      <c r="F33" s="209" t="s">
        <v>39</v>
      </c>
      <c r="G33" s="446" t="str">
        <f>IF($J33="","",'17-1（所得細目表　記載例）'!$J$2)</f>
        <v>〇〇〇〇</v>
      </c>
      <c r="H33" s="450" t="s">
        <v>204</v>
      </c>
      <c r="I33" s="450"/>
      <c r="J33" s="456">
        <f>IF('17-1（所得細目表　記載例）'!B11="","",'17-1（所得細目表　記載例）'!B11)</f>
        <v>3</v>
      </c>
      <c r="L33" s="209" t="str">
        <f>VLOOKUP($J33,'17-1（所得細目表　記載例）'!$B$9:$M$29,2,0)</f>
        <v>島根　３郎</v>
      </c>
      <c r="M33" s="458" t="s">
        <v>207</v>
      </c>
    </row>
    <row r="34" spans="2:13">
      <c r="D34" s="273"/>
      <c r="K34" s="273"/>
    </row>
    <row r="35" spans="2:13">
      <c r="B35" s="437" t="s">
        <v>140</v>
      </c>
      <c r="C35" s="441" t="s">
        <v>99</v>
      </c>
      <c r="E35" s="437" t="s">
        <v>186</v>
      </c>
      <c r="F35" s="437" t="s">
        <v>187</v>
      </c>
      <c r="G35" s="447"/>
      <c r="H35" s="451"/>
      <c r="I35" s="447" t="s">
        <v>33</v>
      </c>
      <c r="J35" s="441" t="s">
        <v>60</v>
      </c>
      <c r="L35" s="437" t="s">
        <v>172</v>
      </c>
      <c r="M35" s="459"/>
    </row>
    <row r="36" spans="2:13">
      <c r="B36" s="438" t="s">
        <v>105</v>
      </c>
      <c r="C36" s="442" t="s">
        <v>3</v>
      </c>
      <c r="E36" s="438" t="s">
        <v>86</v>
      </c>
      <c r="F36" s="438" t="s">
        <v>208</v>
      </c>
      <c r="G36" s="448" t="s">
        <v>110</v>
      </c>
      <c r="H36" s="452" t="s">
        <v>210</v>
      </c>
      <c r="I36" s="455" t="s">
        <v>53</v>
      </c>
      <c r="J36" s="442" t="s">
        <v>192</v>
      </c>
      <c r="L36" s="438" t="s">
        <v>193</v>
      </c>
      <c r="M36" s="442" t="s">
        <v>189</v>
      </c>
    </row>
    <row r="37" spans="2:13">
      <c r="B37" s="439"/>
      <c r="C37" s="443" t="s">
        <v>195</v>
      </c>
      <c r="D37" s="444"/>
      <c r="E37" s="439" t="s">
        <v>196</v>
      </c>
      <c r="F37" s="439"/>
      <c r="G37" s="449" t="s">
        <v>69</v>
      </c>
      <c r="H37" s="453" t="s">
        <v>211</v>
      </c>
      <c r="I37" s="454" t="s">
        <v>199</v>
      </c>
      <c r="J37" s="443"/>
      <c r="K37" s="457"/>
      <c r="L37" s="439" t="s">
        <v>200</v>
      </c>
      <c r="M37" s="443" t="s">
        <v>201</v>
      </c>
    </row>
    <row r="38" spans="2:13" ht="30.75" customHeight="1">
      <c r="B38" s="390">
        <f>VLOOKUP($J33,'17-1（所得細目表　記載例）'!$B$9:$M$29,3,0)</f>
        <v>37975</v>
      </c>
      <c r="C38" s="390">
        <f>VLOOKUP($J33,'17-1（所得細目表　記載例）'!$B$9:$M$29,4,0)</f>
        <v>33000</v>
      </c>
      <c r="D38" s="390"/>
      <c r="E38" s="390">
        <f>VLOOKUP($J33,'17-1（所得細目表　記載例）'!$B$9:$M$29,5,0)</f>
        <v>70975</v>
      </c>
      <c r="F38" s="390">
        <f>VLOOKUP($J33,'17-1（所得細目表　記載例）'!$B$9:$M$29,6,0)</f>
        <v>25047</v>
      </c>
      <c r="G38" s="390">
        <f>VLOOKUP($J33,'17-1（所得細目表　記載例）'!$B$9:$M$29,7,0)</f>
        <v>0</v>
      </c>
      <c r="H38" s="390">
        <f>VLOOKUP($J33,'17-1（所得細目表　記載例）'!$B$9:$M$29,8,0)</f>
        <v>20000</v>
      </c>
      <c r="I38" s="390">
        <f>VLOOKUP($J33,'17-1（所得細目表　記載例）'!$B$9:$M$29,9,0)</f>
        <v>5047</v>
      </c>
      <c r="J38" s="390">
        <f>VLOOKUP($J33,'17-1（所得細目表　記載例）'!$B$9:$M$29,10,0)</f>
        <v>108161</v>
      </c>
      <c r="K38" s="390"/>
      <c r="L38" s="390">
        <f>VLOOKUP($J33,'17-1（所得細目表　記載例）'!$B$9:$M$29,11,0)</f>
        <v>113208</v>
      </c>
      <c r="M38" s="390">
        <f>VLOOKUP($J33,'17-1（所得細目表　記載例）'!$B$9:$M$29,12,0)</f>
        <v>-42233</v>
      </c>
    </row>
    <row r="40" spans="2:13">
      <c r="C40" s="1" t="s">
        <v>213</v>
      </c>
    </row>
    <row r="42" spans="2:13">
      <c r="B42" s="440"/>
      <c r="C42" s="440"/>
      <c r="D42" s="440"/>
      <c r="E42" s="440"/>
      <c r="F42" s="440"/>
      <c r="G42" s="440"/>
      <c r="H42" s="440"/>
      <c r="I42" s="440"/>
      <c r="J42" s="440"/>
      <c r="K42" s="440"/>
      <c r="L42" s="440"/>
      <c r="M42" s="440"/>
    </row>
    <row r="44" spans="2:13" ht="14.25">
      <c r="E44" s="460" t="str">
        <f>$E$2</f>
        <v>中山間地域等直接支払交付金に係る所得計算表(令和８年)</v>
      </c>
      <c r="F44" s="460"/>
      <c r="G44" s="460"/>
      <c r="H44" s="460"/>
      <c r="I44" s="460"/>
      <c r="J44" s="460"/>
    </row>
    <row r="46" spans="2:13" ht="14.25">
      <c r="H46" s="209"/>
      <c r="I46" s="209"/>
      <c r="J46" s="209"/>
    </row>
    <row r="47" spans="2:13" ht="14.25">
      <c r="F47" s="209" t="s">
        <v>39</v>
      </c>
      <c r="G47" s="446" t="str">
        <f>IF($J47="","",'17-1（所得細目表　記載例）'!$J$2)</f>
        <v>〇〇〇〇</v>
      </c>
      <c r="H47" s="450" t="s">
        <v>204</v>
      </c>
      <c r="I47" s="450"/>
      <c r="J47" s="456">
        <f>IF('17-1（所得細目表　記載例）'!B12="","",'17-1（所得細目表　記載例）'!B12)</f>
        <v>4</v>
      </c>
      <c r="L47" s="209" t="str">
        <f>VLOOKUP($J47,'17-1（所得細目表　記載例）'!$B$9:$M$29,2,0)</f>
        <v>島根　４郎</v>
      </c>
      <c r="M47" s="458" t="s">
        <v>207</v>
      </c>
    </row>
    <row r="48" spans="2:13">
      <c r="D48" s="273"/>
      <c r="K48" s="273"/>
    </row>
    <row r="49" spans="2:13">
      <c r="B49" s="437" t="s">
        <v>140</v>
      </c>
      <c r="C49" s="441" t="s">
        <v>99</v>
      </c>
      <c r="E49" s="437" t="s">
        <v>186</v>
      </c>
      <c r="F49" s="437" t="s">
        <v>187</v>
      </c>
      <c r="G49" s="447"/>
      <c r="H49" s="451"/>
      <c r="I49" s="447" t="s">
        <v>33</v>
      </c>
      <c r="J49" s="441" t="s">
        <v>60</v>
      </c>
      <c r="L49" s="437" t="s">
        <v>172</v>
      </c>
      <c r="M49" s="459"/>
    </row>
    <row r="50" spans="2:13">
      <c r="B50" s="438" t="s">
        <v>105</v>
      </c>
      <c r="C50" s="442" t="s">
        <v>3</v>
      </c>
      <c r="E50" s="438" t="s">
        <v>86</v>
      </c>
      <c r="F50" s="438" t="s">
        <v>208</v>
      </c>
      <c r="G50" s="448" t="s">
        <v>110</v>
      </c>
      <c r="H50" s="452" t="s">
        <v>210</v>
      </c>
      <c r="I50" s="455" t="s">
        <v>53</v>
      </c>
      <c r="J50" s="442" t="s">
        <v>192</v>
      </c>
      <c r="L50" s="438" t="s">
        <v>193</v>
      </c>
      <c r="M50" s="442" t="s">
        <v>189</v>
      </c>
    </row>
    <row r="51" spans="2:13">
      <c r="B51" s="439"/>
      <c r="C51" s="443" t="s">
        <v>195</v>
      </c>
      <c r="D51" s="444"/>
      <c r="E51" s="439" t="s">
        <v>196</v>
      </c>
      <c r="F51" s="439"/>
      <c r="G51" s="449" t="s">
        <v>69</v>
      </c>
      <c r="H51" s="453" t="s">
        <v>211</v>
      </c>
      <c r="I51" s="454" t="s">
        <v>199</v>
      </c>
      <c r="J51" s="443"/>
      <c r="K51" s="457"/>
      <c r="L51" s="439" t="s">
        <v>200</v>
      </c>
      <c r="M51" s="443" t="s">
        <v>201</v>
      </c>
    </row>
    <row r="52" spans="2:13" ht="30.75" customHeight="1">
      <c r="B52" s="390">
        <f>VLOOKUP($J47,'17-1（所得細目表　記載例）'!$B$9:$M$29,3,0)</f>
        <v>213086</v>
      </c>
      <c r="C52" s="390">
        <f>VLOOKUP($J47,'17-1（所得細目表　記載例）'!$B$9:$M$29,4,0)</f>
        <v>52500</v>
      </c>
      <c r="D52" s="390"/>
      <c r="E52" s="390">
        <f>VLOOKUP($J47,'17-1（所得細目表　記載例）'!$B$9:$M$29,5,0)</f>
        <v>265586</v>
      </c>
      <c r="F52" s="390">
        <f>VLOOKUP($J47,'17-1（所得細目表　記載例）'!$B$9:$M$29,6,0)</f>
        <v>99447</v>
      </c>
      <c r="G52" s="390">
        <f>VLOOKUP($J47,'17-1（所得細目表　記載例）'!$B$9:$M$29,7,0)</f>
        <v>0</v>
      </c>
      <c r="H52" s="390">
        <f>VLOOKUP($J47,'17-1（所得細目表　記載例）'!$B$9:$M$29,8,0)</f>
        <v>20000</v>
      </c>
      <c r="I52" s="390">
        <f>VLOOKUP($J47,'17-1（所得細目表　記載例）'!$B$9:$M$29,9,0)</f>
        <v>79447</v>
      </c>
      <c r="J52" s="390">
        <f>VLOOKUP($J47,'17-1（所得細目表　記載例）'!$B$9:$M$29,10,0)</f>
        <v>52786</v>
      </c>
      <c r="K52" s="390"/>
      <c r="L52" s="390">
        <f>VLOOKUP($J47,'17-1（所得細目表　記載例）'!$B$9:$M$29,11,0)</f>
        <v>132233</v>
      </c>
      <c r="M52" s="390">
        <f>VLOOKUP($J47,'17-1（所得細目表　記載例）'!$B$9:$M$29,12,0)</f>
        <v>133353</v>
      </c>
    </row>
    <row r="54" spans="2:13">
      <c r="C54" s="1" t="s">
        <v>213</v>
      </c>
    </row>
    <row r="56" spans="2:13">
      <c r="B56" s="440"/>
      <c r="C56" s="440"/>
      <c r="D56" s="440"/>
      <c r="E56" s="440"/>
      <c r="F56" s="440"/>
      <c r="G56" s="440"/>
      <c r="H56" s="440"/>
      <c r="I56" s="440"/>
      <c r="J56" s="440"/>
      <c r="K56" s="440"/>
      <c r="L56" s="440"/>
      <c r="M56" s="440"/>
    </row>
    <row r="58" spans="2:13" ht="14.25">
      <c r="E58" s="460" t="str">
        <f>$E$2</f>
        <v>中山間地域等直接支払交付金に係る所得計算表(令和８年)</v>
      </c>
      <c r="F58" s="460"/>
      <c r="G58" s="460"/>
      <c r="H58" s="460"/>
      <c r="I58" s="460"/>
      <c r="J58" s="460"/>
    </row>
    <row r="60" spans="2:13" ht="14.25">
      <c r="H60" s="209"/>
      <c r="I60" s="209"/>
      <c r="J60" s="209"/>
    </row>
    <row r="61" spans="2:13" ht="14.25">
      <c r="F61" s="209" t="s">
        <v>39</v>
      </c>
      <c r="G61" s="446" t="str">
        <f>IF($J61="","",'17-1（所得細目表　記載例）'!$J$2)</f>
        <v>〇〇〇〇</v>
      </c>
      <c r="H61" s="450" t="s">
        <v>204</v>
      </c>
      <c r="I61" s="450"/>
      <c r="J61" s="456">
        <f>IF('17-1（所得細目表　記載例）'!B13="","",'17-1（所得細目表　記載例）'!B13)</f>
        <v>5</v>
      </c>
      <c r="L61" s="209" t="str">
        <f>VLOOKUP($J61,'17-1（所得細目表　記載例）'!$B$9:$M$29,2,0)</f>
        <v>島根　５郎</v>
      </c>
      <c r="M61" s="458" t="s">
        <v>207</v>
      </c>
    </row>
    <row r="62" spans="2:13">
      <c r="D62" s="273"/>
      <c r="K62" s="273"/>
    </row>
    <row r="63" spans="2:13">
      <c r="B63" s="437" t="s">
        <v>140</v>
      </c>
      <c r="C63" s="441" t="s">
        <v>99</v>
      </c>
      <c r="E63" s="437" t="s">
        <v>186</v>
      </c>
      <c r="F63" s="437" t="s">
        <v>187</v>
      </c>
      <c r="G63" s="447"/>
      <c r="H63" s="451"/>
      <c r="I63" s="447" t="s">
        <v>33</v>
      </c>
      <c r="J63" s="441" t="s">
        <v>60</v>
      </c>
      <c r="L63" s="437" t="s">
        <v>172</v>
      </c>
      <c r="M63" s="459"/>
    </row>
    <row r="64" spans="2:13">
      <c r="B64" s="438" t="s">
        <v>105</v>
      </c>
      <c r="C64" s="442" t="s">
        <v>3</v>
      </c>
      <c r="E64" s="438" t="s">
        <v>86</v>
      </c>
      <c r="F64" s="438" t="s">
        <v>208</v>
      </c>
      <c r="G64" s="448" t="s">
        <v>110</v>
      </c>
      <c r="H64" s="452" t="s">
        <v>210</v>
      </c>
      <c r="I64" s="455" t="s">
        <v>53</v>
      </c>
      <c r="J64" s="442" t="s">
        <v>192</v>
      </c>
      <c r="L64" s="438" t="s">
        <v>193</v>
      </c>
      <c r="M64" s="442" t="s">
        <v>189</v>
      </c>
    </row>
    <row r="65" spans="2:13">
      <c r="B65" s="439"/>
      <c r="C65" s="443" t="s">
        <v>195</v>
      </c>
      <c r="D65" s="444"/>
      <c r="E65" s="439" t="s">
        <v>196</v>
      </c>
      <c r="F65" s="439"/>
      <c r="G65" s="449" t="s">
        <v>69</v>
      </c>
      <c r="H65" s="453" t="s">
        <v>211</v>
      </c>
      <c r="I65" s="454" t="s">
        <v>199</v>
      </c>
      <c r="J65" s="443"/>
      <c r="K65" s="457"/>
      <c r="L65" s="439" t="s">
        <v>200</v>
      </c>
      <c r="M65" s="443" t="s">
        <v>201</v>
      </c>
    </row>
    <row r="66" spans="2:13" ht="30.75" customHeight="1">
      <c r="B66" s="390">
        <f>VLOOKUP($J61,'17-1（所得細目表　記載例）'!$B$9:$M$29,3,0)</f>
        <v>81690</v>
      </c>
      <c r="C66" s="390">
        <f>VLOOKUP($J61,'17-1（所得細目表　記載例）'!$B$9:$M$29,4,0)</f>
        <v>42000</v>
      </c>
      <c r="D66" s="390"/>
      <c r="E66" s="390">
        <f>VLOOKUP($J61,'17-1（所得細目表　記載例）'!$B$9:$M$29,5,0)</f>
        <v>123690</v>
      </c>
      <c r="F66" s="390">
        <f>VLOOKUP($J61,'17-1（所得細目表　記載例）'!$B$9:$M$29,6,0)</f>
        <v>56003</v>
      </c>
      <c r="G66" s="390">
        <f>VLOOKUP($J61,'17-1（所得細目表　記載例）'!$B$9:$M$29,7,0)</f>
        <v>0</v>
      </c>
      <c r="H66" s="390">
        <f>VLOOKUP($J61,'17-1（所得細目表　記載例）'!$B$9:$M$29,8,0)</f>
        <v>20000</v>
      </c>
      <c r="I66" s="390">
        <f>VLOOKUP($J61,'17-1（所得細目表　記載例）'!$B$9:$M$29,9,0)</f>
        <v>36003</v>
      </c>
      <c r="J66" s="390">
        <f>VLOOKUP($J61,'17-1（所得細目表　記載例）'!$B$9:$M$29,10,0)</f>
        <v>78370</v>
      </c>
      <c r="K66" s="390"/>
      <c r="L66" s="390">
        <f>VLOOKUP($J61,'17-1（所得細目表　記載例）'!$B$9:$M$29,11,0)</f>
        <v>114373</v>
      </c>
      <c r="M66" s="390">
        <f>VLOOKUP($J61,'17-1（所得細目表　記載例）'!$B$9:$M$29,12,0)</f>
        <v>9317</v>
      </c>
    </row>
    <row r="68" spans="2:13">
      <c r="C68" s="1" t="s">
        <v>213</v>
      </c>
    </row>
    <row r="70" spans="2:13">
      <c r="B70" s="440"/>
      <c r="C70" s="440"/>
      <c r="D70" s="440"/>
      <c r="E70" s="440"/>
      <c r="F70" s="440"/>
      <c r="G70" s="440"/>
      <c r="H70" s="440"/>
      <c r="I70" s="440"/>
      <c r="J70" s="440"/>
      <c r="K70" s="440"/>
      <c r="L70" s="440"/>
      <c r="M70" s="440"/>
    </row>
    <row r="72" spans="2:13" ht="14.25">
      <c r="E72" s="460" t="str">
        <f>$E$2</f>
        <v>中山間地域等直接支払交付金に係る所得計算表(令和８年)</v>
      </c>
      <c r="F72" s="460"/>
      <c r="G72" s="460"/>
      <c r="H72" s="460"/>
      <c r="I72" s="460"/>
      <c r="J72" s="460"/>
    </row>
    <row r="74" spans="2:13" ht="14.25">
      <c r="H74" s="209"/>
      <c r="I74" s="209"/>
      <c r="J74" s="209"/>
    </row>
    <row r="75" spans="2:13" ht="14.25">
      <c r="F75" s="209" t="s">
        <v>39</v>
      </c>
      <c r="G75" s="446" t="str">
        <f>IF($J75="","",'17-1（所得細目表　記載例）'!$J$2)</f>
        <v>〇〇〇〇</v>
      </c>
      <c r="H75" s="450" t="s">
        <v>204</v>
      </c>
      <c r="I75" s="450"/>
      <c r="J75" s="456">
        <f>IF('17-1（所得細目表　記載例）'!B14="","",'17-1（所得細目表　記載例）'!B14)</f>
        <v>6</v>
      </c>
      <c r="L75" s="209" t="str">
        <f>VLOOKUP($J75,'17-1（所得細目表　記載例）'!$B$9:$M$29,2,0)</f>
        <v>島根　６郎</v>
      </c>
      <c r="M75" s="458" t="s">
        <v>207</v>
      </c>
    </row>
    <row r="76" spans="2:13">
      <c r="D76" s="273"/>
      <c r="K76" s="273"/>
    </row>
    <row r="77" spans="2:13">
      <c r="B77" s="437" t="s">
        <v>140</v>
      </c>
      <c r="C77" s="441" t="s">
        <v>99</v>
      </c>
      <c r="E77" s="437" t="s">
        <v>186</v>
      </c>
      <c r="F77" s="437" t="s">
        <v>187</v>
      </c>
      <c r="G77" s="447"/>
      <c r="H77" s="451"/>
      <c r="I77" s="447" t="s">
        <v>33</v>
      </c>
      <c r="J77" s="441" t="s">
        <v>60</v>
      </c>
      <c r="L77" s="437" t="s">
        <v>172</v>
      </c>
      <c r="M77" s="459"/>
    </row>
    <row r="78" spans="2:13">
      <c r="B78" s="438" t="s">
        <v>105</v>
      </c>
      <c r="C78" s="442" t="s">
        <v>3</v>
      </c>
      <c r="E78" s="438" t="s">
        <v>86</v>
      </c>
      <c r="F78" s="438" t="s">
        <v>208</v>
      </c>
      <c r="G78" s="448" t="s">
        <v>110</v>
      </c>
      <c r="H78" s="452" t="s">
        <v>210</v>
      </c>
      <c r="I78" s="455" t="s">
        <v>53</v>
      </c>
      <c r="J78" s="442" t="s">
        <v>192</v>
      </c>
      <c r="L78" s="438" t="s">
        <v>193</v>
      </c>
      <c r="M78" s="442" t="s">
        <v>189</v>
      </c>
    </row>
    <row r="79" spans="2:13">
      <c r="B79" s="439"/>
      <c r="C79" s="443" t="s">
        <v>195</v>
      </c>
      <c r="D79" s="444"/>
      <c r="E79" s="439" t="s">
        <v>196</v>
      </c>
      <c r="F79" s="439"/>
      <c r="G79" s="449" t="s">
        <v>69</v>
      </c>
      <c r="H79" s="453" t="s">
        <v>211</v>
      </c>
      <c r="I79" s="454" t="s">
        <v>199</v>
      </c>
      <c r="J79" s="443"/>
      <c r="K79" s="457"/>
      <c r="L79" s="439" t="s">
        <v>200</v>
      </c>
      <c r="M79" s="443" t="s">
        <v>201</v>
      </c>
    </row>
    <row r="80" spans="2:13" ht="30.75" customHeight="1">
      <c r="B80" s="390">
        <f>VLOOKUP($J75,'17-1（所得細目表　記載例）'!$B$9:$M$29,3,0)</f>
        <v>7626</v>
      </c>
      <c r="C80" s="390" t="str">
        <f>VLOOKUP($J75,'17-1（所得細目表　記載例）'!$B$9:$M$29,4,0)</f>
        <v/>
      </c>
      <c r="D80" s="390"/>
      <c r="E80" s="390">
        <f>VLOOKUP($J75,'17-1（所得細目表　記載例）'!$B$9:$M$29,5,0)</f>
        <v>7626</v>
      </c>
      <c r="F80" s="390">
        <f>VLOOKUP($J75,'17-1（所得細目表　記載例）'!$B$9:$M$29,6,0)</f>
        <v>2691</v>
      </c>
      <c r="G80" s="390">
        <f>VLOOKUP($J75,'17-1（所得細目表　記載例）'!$B$9:$M$29,7,0)</f>
        <v>0</v>
      </c>
      <c r="H80" s="390">
        <f>VLOOKUP($J75,'17-1（所得細目表　記載例）'!$B$9:$M$29,8,0)</f>
        <v>20000</v>
      </c>
      <c r="I80" s="390">
        <f>VLOOKUP($J75,'17-1（所得細目表　記載例）'!$B$9:$M$29,9,0)</f>
        <v>-17309</v>
      </c>
      <c r="J80" s="390">
        <f>VLOOKUP($J75,'17-1（所得細目表　記載例）'!$B$9:$M$29,10,0)</f>
        <v>108161</v>
      </c>
      <c r="K80" s="390"/>
      <c r="L80" s="390">
        <f>VLOOKUP($J75,'17-1（所得細目表　記載例）'!$B$9:$M$29,11,0)</f>
        <v>90852</v>
      </c>
      <c r="M80" s="390">
        <f>VLOOKUP($J75,'17-1（所得細目表　記載例）'!$B$9:$M$29,12,0)</f>
        <v>-83226</v>
      </c>
    </row>
    <row r="82" spans="2:13">
      <c r="C82" s="1" t="s">
        <v>213</v>
      </c>
    </row>
    <row r="84" spans="2:13">
      <c r="B84" s="440"/>
      <c r="C84" s="440"/>
      <c r="D84" s="440"/>
      <c r="E84" s="440"/>
      <c r="F84" s="440"/>
      <c r="G84" s="440"/>
      <c r="H84" s="440"/>
      <c r="I84" s="440"/>
      <c r="J84" s="440"/>
      <c r="K84" s="440"/>
      <c r="L84" s="440"/>
      <c r="M84" s="440"/>
    </row>
    <row r="86" spans="2:13" ht="14.25">
      <c r="E86" s="460" t="str">
        <f>$E$2</f>
        <v>中山間地域等直接支払交付金に係る所得計算表(令和８年)</v>
      </c>
      <c r="F86" s="460"/>
      <c r="G86" s="460"/>
      <c r="H86" s="460"/>
      <c r="I86" s="460"/>
      <c r="J86" s="460"/>
    </row>
    <row r="88" spans="2:13" ht="14.25">
      <c r="H88" s="209"/>
      <c r="I88" s="209"/>
      <c r="J88" s="209"/>
    </row>
    <row r="89" spans="2:13" ht="14.25">
      <c r="F89" s="209" t="s">
        <v>39</v>
      </c>
      <c r="G89" s="446" t="str">
        <f>IF($J89="","",'17-1（所得細目表　記載例）'!$J$2)</f>
        <v>〇〇〇〇</v>
      </c>
      <c r="H89" s="450" t="s">
        <v>204</v>
      </c>
      <c r="I89" s="450"/>
      <c r="J89" s="456">
        <f>IF('17-1（所得細目表　記載例）'!B15="","",'17-1（所得細目表　記載例）'!B15)</f>
        <v>7</v>
      </c>
      <c r="L89" s="209" t="str">
        <f>VLOOKUP($J89,'17-1（所得細目表　記載例）'!$B$9:$M$29,2,0)</f>
        <v>島根　７郎</v>
      </c>
      <c r="M89" s="458" t="s">
        <v>207</v>
      </c>
    </row>
    <row r="90" spans="2:13">
      <c r="D90" s="273"/>
      <c r="K90" s="273"/>
    </row>
    <row r="91" spans="2:13">
      <c r="B91" s="437" t="s">
        <v>140</v>
      </c>
      <c r="C91" s="441" t="s">
        <v>99</v>
      </c>
      <c r="E91" s="437" t="s">
        <v>186</v>
      </c>
      <c r="F91" s="437" t="s">
        <v>187</v>
      </c>
      <c r="G91" s="447"/>
      <c r="H91" s="451"/>
      <c r="I91" s="447" t="s">
        <v>33</v>
      </c>
      <c r="J91" s="441" t="s">
        <v>60</v>
      </c>
      <c r="L91" s="437" t="s">
        <v>172</v>
      </c>
      <c r="M91" s="459"/>
    </row>
    <row r="92" spans="2:13">
      <c r="B92" s="438" t="s">
        <v>105</v>
      </c>
      <c r="C92" s="442" t="s">
        <v>3</v>
      </c>
      <c r="E92" s="438" t="s">
        <v>86</v>
      </c>
      <c r="F92" s="438" t="s">
        <v>208</v>
      </c>
      <c r="G92" s="448" t="s">
        <v>110</v>
      </c>
      <c r="H92" s="452" t="s">
        <v>210</v>
      </c>
      <c r="I92" s="455" t="s">
        <v>53</v>
      </c>
      <c r="J92" s="442" t="s">
        <v>192</v>
      </c>
      <c r="L92" s="438" t="s">
        <v>193</v>
      </c>
      <c r="M92" s="442" t="s">
        <v>189</v>
      </c>
    </row>
    <row r="93" spans="2:13">
      <c r="B93" s="439"/>
      <c r="C93" s="443" t="s">
        <v>195</v>
      </c>
      <c r="D93" s="444"/>
      <c r="E93" s="439" t="s">
        <v>196</v>
      </c>
      <c r="F93" s="439"/>
      <c r="G93" s="449" t="s">
        <v>69</v>
      </c>
      <c r="H93" s="453" t="s">
        <v>211</v>
      </c>
      <c r="I93" s="454" t="s">
        <v>199</v>
      </c>
      <c r="J93" s="443"/>
      <c r="K93" s="457"/>
      <c r="L93" s="439" t="s">
        <v>200</v>
      </c>
      <c r="M93" s="443" t="s">
        <v>201</v>
      </c>
    </row>
    <row r="94" spans="2:13" ht="30.75" customHeight="1">
      <c r="B94" s="390">
        <f>VLOOKUP($J89,'17-1（所得細目表　記載例）'!$B$9:$M$29,3,0)</f>
        <v>5577</v>
      </c>
      <c r="C94" s="390" t="str">
        <f>VLOOKUP($J89,'17-1（所得細目表　記載例）'!$B$9:$M$29,4,0)</f>
        <v/>
      </c>
      <c r="D94" s="390"/>
      <c r="E94" s="390">
        <f>VLOOKUP($J89,'17-1（所得細目表　記載例）'!$B$9:$M$29,5,0)</f>
        <v>5577</v>
      </c>
      <c r="F94" s="390">
        <f>VLOOKUP($J89,'17-1（所得細目表　記載例）'!$B$9:$M$29,6,0)</f>
        <v>1967</v>
      </c>
      <c r="G94" s="390">
        <f>VLOOKUP($J89,'17-1（所得細目表　記載例）'!$B$9:$M$29,7,0)</f>
        <v>0</v>
      </c>
      <c r="H94" s="390">
        <f>VLOOKUP($J89,'17-1（所得細目表　記載例）'!$B$9:$M$29,8,0)</f>
        <v>20000</v>
      </c>
      <c r="I94" s="390">
        <f>VLOOKUP($J89,'17-1（所得細目表　記載例）'!$B$9:$M$29,9,0)</f>
        <v>-18033</v>
      </c>
      <c r="J94" s="390">
        <f>VLOOKUP($J89,'17-1（所得細目表　記載例）'!$B$9:$M$29,10,0)</f>
        <v>52786</v>
      </c>
      <c r="K94" s="390"/>
      <c r="L94" s="390">
        <f>VLOOKUP($J89,'17-1（所得細目表　記載例）'!$B$9:$M$29,11,0)</f>
        <v>34753</v>
      </c>
      <c r="M94" s="390">
        <f>VLOOKUP($J89,'17-1（所得細目表　記載例）'!$B$9:$M$29,12,0)</f>
        <v>-29176</v>
      </c>
    </row>
    <row r="96" spans="2:13">
      <c r="C96" s="1" t="s">
        <v>213</v>
      </c>
    </row>
    <row r="98" spans="2:13">
      <c r="B98" s="440"/>
      <c r="C98" s="440"/>
      <c r="D98" s="440"/>
      <c r="E98" s="440"/>
      <c r="F98" s="440"/>
      <c r="G98" s="440"/>
      <c r="H98" s="440"/>
      <c r="I98" s="440"/>
      <c r="J98" s="440"/>
      <c r="K98" s="440"/>
      <c r="L98" s="440"/>
      <c r="M98" s="440"/>
    </row>
    <row r="100" spans="2:13" ht="14.25">
      <c r="E100" s="460" t="str">
        <f>$E$2</f>
        <v>中山間地域等直接支払交付金に係る所得計算表(令和８年)</v>
      </c>
      <c r="F100" s="460"/>
      <c r="G100" s="460"/>
      <c r="H100" s="460"/>
      <c r="I100" s="460"/>
      <c r="J100" s="460"/>
    </row>
    <row r="102" spans="2:13" ht="14.25">
      <c r="H102" s="209"/>
      <c r="I102" s="209"/>
      <c r="J102" s="209"/>
    </row>
    <row r="103" spans="2:13" ht="14.25">
      <c r="F103" s="209" t="s">
        <v>39</v>
      </c>
      <c r="G103" s="446" t="str">
        <f>IF($J103="","",'17-1（所得細目表　記載例）'!$J$2)</f>
        <v>〇〇〇〇</v>
      </c>
      <c r="H103" s="450" t="s">
        <v>204</v>
      </c>
      <c r="I103" s="450"/>
      <c r="J103" s="456">
        <f>IF('17-1（所得細目表　記載例）'!B16="","",'17-1（所得細目表　記載例）'!B16)</f>
        <v>8</v>
      </c>
      <c r="L103" s="209" t="str">
        <f>VLOOKUP($J103,'17-1（所得細目表　記載例）'!$B$9:$M$29,2,0)</f>
        <v>島根　８郎</v>
      </c>
      <c r="M103" s="458" t="s">
        <v>207</v>
      </c>
    </row>
    <row r="104" spans="2:13">
      <c r="D104" s="273"/>
      <c r="K104" s="273"/>
    </row>
    <row r="105" spans="2:13">
      <c r="B105" s="437" t="s">
        <v>140</v>
      </c>
      <c r="C105" s="441" t="s">
        <v>99</v>
      </c>
      <c r="E105" s="437" t="s">
        <v>186</v>
      </c>
      <c r="F105" s="437" t="s">
        <v>187</v>
      </c>
      <c r="G105" s="447"/>
      <c r="H105" s="451"/>
      <c r="I105" s="447" t="s">
        <v>33</v>
      </c>
      <c r="J105" s="441" t="s">
        <v>60</v>
      </c>
      <c r="L105" s="437" t="s">
        <v>172</v>
      </c>
      <c r="M105" s="459"/>
    </row>
    <row r="106" spans="2:13">
      <c r="B106" s="438" t="s">
        <v>105</v>
      </c>
      <c r="C106" s="442" t="s">
        <v>3</v>
      </c>
      <c r="E106" s="438" t="s">
        <v>86</v>
      </c>
      <c r="F106" s="438" t="s">
        <v>208</v>
      </c>
      <c r="G106" s="448" t="s">
        <v>110</v>
      </c>
      <c r="H106" s="452" t="s">
        <v>210</v>
      </c>
      <c r="I106" s="455" t="s">
        <v>53</v>
      </c>
      <c r="J106" s="442" t="s">
        <v>192</v>
      </c>
      <c r="L106" s="438" t="s">
        <v>193</v>
      </c>
      <c r="M106" s="442" t="s">
        <v>189</v>
      </c>
    </row>
    <row r="107" spans="2:13">
      <c r="B107" s="439"/>
      <c r="C107" s="443" t="s">
        <v>195</v>
      </c>
      <c r="D107" s="444"/>
      <c r="E107" s="439" t="s">
        <v>196</v>
      </c>
      <c r="F107" s="439"/>
      <c r="G107" s="449" t="s">
        <v>69</v>
      </c>
      <c r="H107" s="453" t="s">
        <v>211</v>
      </c>
      <c r="I107" s="454" t="s">
        <v>199</v>
      </c>
      <c r="J107" s="443"/>
      <c r="K107" s="457"/>
      <c r="L107" s="439" t="s">
        <v>200</v>
      </c>
      <c r="M107" s="443" t="s">
        <v>201</v>
      </c>
    </row>
    <row r="108" spans="2:13" ht="30.75" customHeight="1">
      <c r="B108" s="390">
        <f>VLOOKUP($J103,'17-1（所得細目表　記載例）'!$B$9:$M$29,3,0)</f>
        <v>30090</v>
      </c>
      <c r="C108" s="390" t="str">
        <f>VLOOKUP($J103,'17-1（所得細目表　記載例）'!$B$9:$M$29,4,0)</f>
        <v/>
      </c>
      <c r="D108" s="390"/>
      <c r="E108" s="390">
        <f>VLOOKUP($J103,'17-1（所得細目表　記載例）'!$B$9:$M$29,5,0)</f>
        <v>30090</v>
      </c>
      <c r="F108" s="390">
        <f>VLOOKUP($J103,'17-1（所得細目表　記載例）'!$B$9:$M$29,6,0)</f>
        <v>10616</v>
      </c>
      <c r="G108" s="390">
        <f>VLOOKUP($J103,'17-1（所得細目表　記載例）'!$B$9:$M$29,7,0)</f>
        <v>0</v>
      </c>
      <c r="H108" s="390">
        <f>VLOOKUP($J103,'17-1（所得細目表　記載例）'!$B$9:$M$29,8,0)</f>
        <v>20000</v>
      </c>
      <c r="I108" s="390">
        <f>VLOOKUP($J103,'17-1（所得細目表　記載例）'!$B$9:$M$29,9,0)</f>
        <v>-9384</v>
      </c>
      <c r="J108" s="390">
        <f>VLOOKUP($J103,'17-1（所得細目表　記載例）'!$B$9:$M$29,10,0)</f>
        <v>100550</v>
      </c>
      <c r="K108" s="390"/>
      <c r="L108" s="390">
        <f>VLOOKUP($J103,'17-1（所得細目表　記載例）'!$B$9:$M$29,11,0)</f>
        <v>91166</v>
      </c>
      <c r="M108" s="390">
        <f>VLOOKUP($J103,'17-1（所得細目表　記載例）'!$B$9:$M$29,12,0)</f>
        <v>-61076</v>
      </c>
    </row>
    <row r="110" spans="2:13">
      <c r="C110" s="1" t="s">
        <v>213</v>
      </c>
    </row>
    <row r="112" spans="2:13">
      <c r="B112" s="440"/>
      <c r="C112" s="440"/>
      <c r="D112" s="440"/>
      <c r="E112" s="440"/>
      <c r="F112" s="440"/>
      <c r="G112" s="440"/>
      <c r="H112" s="440"/>
      <c r="I112" s="440"/>
      <c r="J112" s="440"/>
      <c r="K112" s="440"/>
      <c r="L112" s="440"/>
      <c r="M112" s="440"/>
    </row>
    <row r="114" spans="2:13" ht="14.25">
      <c r="E114" s="460" t="str">
        <f>$E$2</f>
        <v>中山間地域等直接支払交付金に係る所得計算表(令和８年)</v>
      </c>
      <c r="F114" s="460"/>
      <c r="G114" s="460"/>
      <c r="H114" s="460"/>
      <c r="I114" s="460"/>
      <c r="J114" s="460"/>
    </row>
    <row r="116" spans="2:13" ht="14.25">
      <c r="H116" s="209"/>
      <c r="I116" s="209"/>
      <c r="J116" s="209"/>
    </row>
    <row r="117" spans="2:13" ht="14.25">
      <c r="F117" s="209" t="s">
        <v>39</v>
      </c>
      <c r="G117" s="446" t="str">
        <f>IF($J117="","",'17-1（所得細目表　記載例）'!$J$2)</f>
        <v>〇〇〇〇</v>
      </c>
      <c r="H117" s="450" t="s">
        <v>204</v>
      </c>
      <c r="I117" s="450"/>
      <c r="J117" s="456">
        <f>IF('17-1（所得細目表　記載例）'!B17="","",'17-1（所得細目表　記載例）'!B17)</f>
        <v>9</v>
      </c>
      <c r="L117" s="209" t="str">
        <f>VLOOKUP($J117,'17-1（所得細目表　記載例）'!$B$9:$M$29,2,0)</f>
        <v>島根　９郎</v>
      </c>
      <c r="M117" s="458" t="s">
        <v>207</v>
      </c>
    </row>
    <row r="118" spans="2:13">
      <c r="D118" s="273"/>
      <c r="K118" s="273"/>
    </row>
    <row r="119" spans="2:13">
      <c r="B119" s="437" t="s">
        <v>140</v>
      </c>
      <c r="C119" s="441" t="s">
        <v>99</v>
      </c>
      <c r="E119" s="437" t="s">
        <v>186</v>
      </c>
      <c r="F119" s="437" t="s">
        <v>187</v>
      </c>
      <c r="G119" s="447"/>
      <c r="H119" s="451"/>
      <c r="I119" s="447" t="s">
        <v>33</v>
      </c>
      <c r="J119" s="441" t="s">
        <v>60</v>
      </c>
      <c r="L119" s="437" t="s">
        <v>172</v>
      </c>
      <c r="M119" s="459"/>
    </row>
    <row r="120" spans="2:13">
      <c r="B120" s="438" t="s">
        <v>105</v>
      </c>
      <c r="C120" s="442" t="s">
        <v>3</v>
      </c>
      <c r="E120" s="438" t="s">
        <v>86</v>
      </c>
      <c r="F120" s="438" t="s">
        <v>208</v>
      </c>
      <c r="G120" s="448" t="s">
        <v>110</v>
      </c>
      <c r="H120" s="452" t="s">
        <v>210</v>
      </c>
      <c r="I120" s="455" t="s">
        <v>53</v>
      </c>
      <c r="J120" s="442" t="s">
        <v>192</v>
      </c>
      <c r="L120" s="438" t="s">
        <v>193</v>
      </c>
      <c r="M120" s="442" t="s">
        <v>189</v>
      </c>
    </row>
    <row r="121" spans="2:13">
      <c r="B121" s="439"/>
      <c r="C121" s="443" t="s">
        <v>195</v>
      </c>
      <c r="D121" s="444"/>
      <c r="E121" s="439" t="s">
        <v>196</v>
      </c>
      <c r="F121" s="439"/>
      <c r="G121" s="449" t="s">
        <v>69</v>
      </c>
      <c r="H121" s="453" t="s">
        <v>211</v>
      </c>
      <c r="I121" s="454" t="s">
        <v>199</v>
      </c>
      <c r="J121" s="443"/>
      <c r="K121" s="457"/>
      <c r="L121" s="439" t="s">
        <v>200</v>
      </c>
      <c r="M121" s="443" t="s">
        <v>201</v>
      </c>
    </row>
    <row r="122" spans="2:13" ht="30.75" customHeight="1">
      <c r="B122" s="390">
        <f>VLOOKUP($J117,'17-1（所得細目表　記載例）'!$B$9:$M$29,3,0)</f>
        <v>72323</v>
      </c>
      <c r="C122" s="390">
        <f>VLOOKUP($J117,'17-1（所得細目表　記載例）'!$B$9:$M$29,4,0)</f>
        <v>3000</v>
      </c>
      <c r="D122" s="390"/>
      <c r="E122" s="390">
        <f>VLOOKUP($J117,'17-1（所得細目表　記載例）'!$B$9:$M$29,5,0)</f>
        <v>75323</v>
      </c>
      <c r="F122" s="390">
        <f>VLOOKUP($J117,'17-1（所得細目表　記載例）'!$B$9:$M$29,6,0)</f>
        <v>27457</v>
      </c>
      <c r="G122" s="390">
        <f>VLOOKUP($J117,'17-1（所得細目表　記載例）'!$B$9:$M$29,7,0)</f>
        <v>0</v>
      </c>
      <c r="H122" s="390">
        <f>VLOOKUP($J117,'17-1（所得細目表　記載例）'!$B$9:$M$29,8,0)</f>
        <v>0</v>
      </c>
      <c r="I122" s="390">
        <f>VLOOKUP($J117,'17-1（所得細目表　記載例）'!$B$9:$M$29,9,0)</f>
        <v>27457</v>
      </c>
      <c r="J122" s="390">
        <f>VLOOKUP($J117,'17-1（所得細目表　記載例）'!$B$9:$M$29,10,0)</f>
        <v>52786</v>
      </c>
      <c r="K122" s="390"/>
      <c r="L122" s="390">
        <f>VLOOKUP($J117,'17-1（所得細目表　記載例）'!$B$9:$M$29,11,0)</f>
        <v>80243</v>
      </c>
      <c r="M122" s="390">
        <f>VLOOKUP($J117,'17-1（所得細目表　記載例）'!$B$9:$M$29,12,0)</f>
        <v>-4920</v>
      </c>
    </row>
    <row r="124" spans="2:13">
      <c r="C124" s="1" t="s">
        <v>213</v>
      </c>
    </row>
    <row r="126" spans="2:13">
      <c r="B126" s="440"/>
      <c r="C126" s="440"/>
      <c r="D126" s="440"/>
      <c r="E126" s="440"/>
      <c r="F126" s="440"/>
      <c r="G126" s="440"/>
      <c r="H126" s="440"/>
      <c r="I126" s="440"/>
      <c r="J126" s="440"/>
      <c r="K126" s="440"/>
      <c r="L126" s="440"/>
      <c r="M126" s="440"/>
    </row>
    <row r="128" spans="2:13" ht="14.25">
      <c r="E128" s="460" t="str">
        <f>$E$2</f>
        <v>中山間地域等直接支払交付金に係る所得計算表(令和８年)</v>
      </c>
      <c r="F128" s="460"/>
      <c r="G128" s="460"/>
      <c r="H128" s="460"/>
      <c r="I128" s="460"/>
      <c r="J128" s="460"/>
    </row>
    <row r="130" spans="2:13" ht="14.25">
      <c r="H130" s="209"/>
      <c r="I130" s="209"/>
      <c r="J130" s="209"/>
    </row>
    <row r="131" spans="2:13" ht="14.25">
      <c r="F131" s="209" t="s">
        <v>39</v>
      </c>
      <c r="G131" s="446" t="str">
        <f>IF($J131="","",'17-1（所得細目表　記載例）'!$J$2)</f>
        <v>〇〇〇〇</v>
      </c>
      <c r="H131" s="450" t="s">
        <v>204</v>
      </c>
      <c r="I131" s="450"/>
      <c r="J131" s="456">
        <f>IF('17-1（所得細目表　記載例）'!B18="","",'17-1（所得細目表　記載例）'!B18)</f>
        <v>10</v>
      </c>
      <c r="L131" s="209" t="str">
        <f>VLOOKUP($J131,'17-1（所得細目表　記載例）'!$B$9:$M$29,2,0)</f>
        <v>島根　１０郎</v>
      </c>
      <c r="M131" s="458" t="s">
        <v>207</v>
      </c>
    </row>
    <row r="132" spans="2:13">
      <c r="D132" s="273"/>
      <c r="K132" s="273"/>
    </row>
    <row r="133" spans="2:13">
      <c r="B133" s="437" t="s">
        <v>140</v>
      </c>
      <c r="C133" s="441" t="s">
        <v>99</v>
      </c>
      <c r="E133" s="437" t="s">
        <v>186</v>
      </c>
      <c r="F133" s="437" t="s">
        <v>187</v>
      </c>
      <c r="G133" s="447"/>
      <c r="H133" s="451"/>
      <c r="I133" s="447" t="s">
        <v>33</v>
      </c>
      <c r="J133" s="441" t="s">
        <v>60</v>
      </c>
      <c r="L133" s="437" t="s">
        <v>172</v>
      </c>
      <c r="M133" s="459"/>
    </row>
    <row r="134" spans="2:13">
      <c r="B134" s="438" t="s">
        <v>105</v>
      </c>
      <c r="C134" s="442" t="s">
        <v>3</v>
      </c>
      <c r="E134" s="438" t="s">
        <v>86</v>
      </c>
      <c r="F134" s="438" t="s">
        <v>208</v>
      </c>
      <c r="G134" s="448" t="s">
        <v>110</v>
      </c>
      <c r="H134" s="452" t="s">
        <v>210</v>
      </c>
      <c r="I134" s="455" t="s">
        <v>53</v>
      </c>
      <c r="J134" s="442" t="s">
        <v>192</v>
      </c>
      <c r="L134" s="438" t="s">
        <v>193</v>
      </c>
      <c r="M134" s="442" t="s">
        <v>189</v>
      </c>
    </row>
    <row r="135" spans="2:13">
      <c r="B135" s="439"/>
      <c r="C135" s="443" t="s">
        <v>195</v>
      </c>
      <c r="D135" s="444"/>
      <c r="E135" s="439" t="s">
        <v>196</v>
      </c>
      <c r="F135" s="439"/>
      <c r="G135" s="449" t="s">
        <v>69</v>
      </c>
      <c r="H135" s="453" t="s">
        <v>211</v>
      </c>
      <c r="I135" s="454" t="s">
        <v>199</v>
      </c>
      <c r="J135" s="443"/>
      <c r="K135" s="457"/>
      <c r="L135" s="439" t="s">
        <v>200</v>
      </c>
      <c r="M135" s="443" t="s">
        <v>201</v>
      </c>
    </row>
    <row r="136" spans="2:13" ht="30.75" customHeight="1">
      <c r="B136" s="390">
        <f>VLOOKUP($J131,'17-1（所得細目表　記載例）'!$B$9:$M$29,3,0)</f>
        <v>77265</v>
      </c>
      <c r="C136" s="390">
        <f>VLOOKUP($J131,'17-1（所得細目表　記載例）'!$B$9:$M$29,4,0)</f>
        <v>6000</v>
      </c>
      <c r="D136" s="390"/>
      <c r="E136" s="390">
        <f>VLOOKUP($J131,'17-1（所得細目表　記載例）'!$B$9:$M$29,5,0)</f>
        <v>83265</v>
      </c>
      <c r="F136" s="390">
        <f>VLOOKUP($J131,'17-1（所得細目表　記載例）'!$B$9:$M$29,6,0)</f>
        <v>31142</v>
      </c>
      <c r="G136" s="390">
        <f>VLOOKUP($J131,'17-1（所得細目表　記載例）'!$B$9:$M$29,7,0)</f>
        <v>0</v>
      </c>
      <c r="H136" s="390">
        <f>VLOOKUP($J131,'17-1（所得細目表　記載例）'!$B$9:$M$29,8,0)</f>
        <v>20000</v>
      </c>
      <c r="I136" s="390">
        <f>VLOOKUP($J131,'17-1（所得細目表　記載例）'!$B$9:$M$29,9,0)</f>
        <v>11142</v>
      </c>
      <c r="J136" s="390">
        <f>VLOOKUP($J131,'17-1（所得細目表　記載例）'!$B$9:$M$29,10,0)</f>
        <v>92777</v>
      </c>
      <c r="K136" s="390"/>
      <c r="L136" s="390">
        <f>VLOOKUP($J131,'17-1（所得細目表　記載例）'!$B$9:$M$29,11,0)</f>
        <v>103919</v>
      </c>
      <c r="M136" s="390">
        <f>VLOOKUP($J131,'17-1（所得細目表　記載例）'!$B$9:$M$29,12,0)</f>
        <v>-20654</v>
      </c>
    </row>
    <row r="138" spans="2:13">
      <c r="C138" s="1" t="s">
        <v>213</v>
      </c>
    </row>
    <row r="140" spans="2:13">
      <c r="B140" s="440"/>
      <c r="C140" s="440"/>
      <c r="D140" s="440"/>
      <c r="E140" s="440"/>
      <c r="F140" s="440"/>
      <c r="G140" s="440"/>
      <c r="H140" s="440"/>
      <c r="I140" s="440"/>
      <c r="J140" s="440"/>
      <c r="K140" s="440"/>
      <c r="L140" s="440"/>
      <c r="M140" s="440"/>
    </row>
    <row r="142" spans="2:13" ht="14.25">
      <c r="E142" s="460" t="str">
        <f>$E$2</f>
        <v>中山間地域等直接支払交付金に係る所得計算表(令和８年)</v>
      </c>
      <c r="F142" s="460"/>
      <c r="G142" s="460"/>
      <c r="H142" s="460"/>
      <c r="I142" s="460"/>
      <c r="J142" s="460"/>
    </row>
    <row r="144" spans="2:13" ht="14.25">
      <c r="H144" s="209"/>
      <c r="I144" s="209"/>
      <c r="J144" s="209"/>
    </row>
    <row r="145" spans="2:13" ht="14.25">
      <c r="F145" s="209" t="s">
        <v>39</v>
      </c>
      <c r="G145" s="446" t="str">
        <f>IF($J145="","",'17-1（所得細目表　記載例）'!$J$2)</f>
        <v>〇〇〇〇</v>
      </c>
      <c r="H145" s="450" t="s">
        <v>204</v>
      </c>
      <c r="I145" s="450"/>
      <c r="J145" s="456">
        <f>IF('17-1（所得細目表　記載例）'!B19="","",'17-1（所得細目表　記載例）'!B19)</f>
        <v>11</v>
      </c>
      <c r="L145" s="209" t="str">
        <f>VLOOKUP($J145,'17-1（所得細目表　記載例）'!$B$9:$M$29,2,0)</f>
        <v>島根　１１郎</v>
      </c>
      <c r="M145" s="458" t="s">
        <v>207</v>
      </c>
    </row>
    <row r="146" spans="2:13">
      <c r="D146" s="273"/>
      <c r="K146" s="273"/>
    </row>
    <row r="147" spans="2:13">
      <c r="B147" s="437" t="s">
        <v>140</v>
      </c>
      <c r="C147" s="441" t="s">
        <v>99</v>
      </c>
      <c r="E147" s="437" t="s">
        <v>186</v>
      </c>
      <c r="F147" s="437" t="s">
        <v>187</v>
      </c>
      <c r="G147" s="447"/>
      <c r="H147" s="451"/>
      <c r="I147" s="447" t="s">
        <v>33</v>
      </c>
      <c r="J147" s="441" t="s">
        <v>60</v>
      </c>
      <c r="L147" s="437" t="s">
        <v>172</v>
      </c>
      <c r="M147" s="459"/>
    </row>
    <row r="148" spans="2:13">
      <c r="B148" s="438" t="s">
        <v>105</v>
      </c>
      <c r="C148" s="442" t="s">
        <v>3</v>
      </c>
      <c r="E148" s="438" t="s">
        <v>86</v>
      </c>
      <c r="F148" s="438" t="s">
        <v>208</v>
      </c>
      <c r="G148" s="448" t="s">
        <v>110</v>
      </c>
      <c r="H148" s="452" t="s">
        <v>210</v>
      </c>
      <c r="I148" s="455" t="s">
        <v>53</v>
      </c>
      <c r="J148" s="442" t="s">
        <v>192</v>
      </c>
      <c r="L148" s="438" t="s">
        <v>193</v>
      </c>
      <c r="M148" s="442" t="s">
        <v>189</v>
      </c>
    </row>
    <row r="149" spans="2:13">
      <c r="B149" s="439"/>
      <c r="C149" s="443" t="s">
        <v>195</v>
      </c>
      <c r="D149" s="444"/>
      <c r="E149" s="439" t="s">
        <v>196</v>
      </c>
      <c r="F149" s="439"/>
      <c r="G149" s="449" t="s">
        <v>69</v>
      </c>
      <c r="H149" s="453" t="s">
        <v>211</v>
      </c>
      <c r="I149" s="454" t="s">
        <v>199</v>
      </c>
      <c r="J149" s="443"/>
      <c r="K149" s="457"/>
      <c r="L149" s="439" t="s">
        <v>200</v>
      </c>
      <c r="M149" s="443" t="s">
        <v>201</v>
      </c>
    </row>
    <row r="150" spans="2:13" ht="30.75" customHeight="1">
      <c r="B150" s="390">
        <f>VLOOKUP($J145,'17-1（所得細目表　記載例）'!$B$9:$M$29,3,0)</f>
        <v>196340</v>
      </c>
      <c r="C150" s="390">
        <f>VLOOKUP($J145,'17-1（所得細目表　記載例）'!$B$9:$M$29,4,0)</f>
        <v>16500</v>
      </c>
      <c r="D150" s="390"/>
      <c r="E150" s="390">
        <f>VLOOKUP($J145,'17-1（所得細目表　記載例）'!$B$9:$M$29,5,0)</f>
        <v>212840</v>
      </c>
      <c r="F150" s="390">
        <f>VLOOKUP($J145,'17-1（所得細目表　記載例）'!$B$9:$M$29,6,0)</f>
        <v>80507</v>
      </c>
      <c r="G150" s="390">
        <f>VLOOKUP($J145,'17-1（所得細目表　記載例）'!$B$9:$M$29,7,0)</f>
        <v>0</v>
      </c>
      <c r="H150" s="390">
        <f>VLOOKUP($J145,'17-1（所得細目表　記載例）'!$B$9:$M$29,8,0)</f>
        <v>0</v>
      </c>
      <c r="I150" s="390">
        <f>VLOOKUP($J145,'17-1（所得細目表　記載例）'!$B$9:$M$29,9,0)</f>
        <v>80507</v>
      </c>
      <c r="J150" s="390">
        <f>VLOOKUP($J145,'17-1（所得細目表　記載例）'!$B$9:$M$29,10,0)</f>
        <v>63050</v>
      </c>
      <c r="K150" s="390"/>
      <c r="L150" s="390">
        <f>VLOOKUP($J145,'17-1（所得細目表　記載例）'!$B$9:$M$29,11,0)</f>
        <v>143557</v>
      </c>
      <c r="M150" s="390">
        <f>VLOOKUP($J145,'17-1（所得細目表　記載例）'!$B$9:$M$29,12,0)</f>
        <v>69283</v>
      </c>
    </row>
    <row r="152" spans="2:13">
      <c r="C152" s="1" t="s">
        <v>213</v>
      </c>
    </row>
    <row r="154" spans="2:13">
      <c r="B154" s="440"/>
      <c r="C154" s="440"/>
      <c r="D154" s="440"/>
      <c r="E154" s="440"/>
      <c r="F154" s="440"/>
      <c r="G154" s="440"/>
      <c r="H154" s="440"/>
      <c r="I154" s="440"/>
      <c r="J154" s="440"/>
      <c r="K154" s="440"/>
      <c r="L154" s="440"/>
      <c r="M154" s="440"/>
    </row>
    <row r="156" spans="2:13" ht="14.25">
      <c r="E156" s="460" t="str">
        <f>$E$2</f>
        <v>中山間地域等直接支払交付金に係る所得計算表(令和８年)</v>
      </c>
      <c r="F156" s="460"/>
      <c r="G156" s="460"/>
      <c r="H156" s="460"/>
      <c r="I156" s="460"/>
      <c r="J156" s="460"/>
    </row>
    <row r="158" spans="2:13" ht="14.25">
      <c r="H158" s="209"/>
      <c r="I158" s="209"/>
      <c r="J158" s="209"/>
    </row>
    <row r="159" spans="2:13" ht="14.25">
      <c r="F159" s="209" t="s">
        <v>39</v>
      </c>
      <c r="G159" s="446" t="str">
        <f>IF($J159="","",'17-1（所得細目表　記載例）'!$J$2)</f>
        <v>〇〇〇〇</v>
      </c>
      <c r="H159" s="450" t="s">
        <v>204</v>
      </c>
      <c r="I159" s="450"/>
      <c r="J159" s="456">
        <f>IF('17-1（所得細目表　記載例）'!B20="","",'17-1（所得細目表　記載例）'!B20)</f>
        <v>12</v>
      </c>
      <c r="L159" s="209" t="str">
        <f>VLOOKUP($J159,'17-1（所得細目表　記載例）'!$B$9:$M$29,2,0)</f>
        <v>島根　１２郎</v>
      </c>
      <c r="M159" s="458" t="s">
        <v>207</v>
      </c>
    </row>
    <row r="160" spans="2:13">
      <c r="D160" s="273"/>
      <c r="K160" s="273"/>
    </row>
    <row r="161" spans="2:13">
      <c r="B161" s="437" t="s">
        <v>140</v>
      </c>
      <c r="C161" s="441" t="s">
        <v>99</v>
      </c>
      <c r="E161" s="437" t="s">
        <v>186</v>
      </c>
      <c r="F161" s="437" t="s">
        <v>187</v>
      </c>
      <c r="G161" s="447"/>
      <c r="H161" s="451"/>
      <c r="I161" s="447" t="s">
        <v>33</v>
      </c>
      <c r="J161" s="441" t="s">
        <v>60</v>
      </c>
      <c r="L161" s="437" t="s">
        <v>172</v>
      </c>
      <c r="M161" s="459"/>
    </row>
    <row r="162" spans="2:13">
      <c r="B162" s="438" t="s">
        <v>105</v>
      </c>
      <c r="C162" s="442" t="s">
        <v>3</v>
      </c>
      <c r="E162" s="438" t="s">
        <v>86</v>
      </c>
      <c r="F162" s="438" t="s">
        <v>208</v>
      </c>
      <c r="G162" s="448" t="s">
        <v>110</v>
      </c>
      <c r="H162" s="452" t="s">
        <v>210</v>
      </c>
      <c r="I162" s="455" t="s">
        <v>53</v>
      </c>
      <c r="J162" s="442" t="s">
        <v>192</v>
      </c>
      <c r="L162" s="438" t="s">
        <v>193</v>
      </c>
      <c r="M162" s="442" t="s">
        <v>189</v>
      </c>
    </row>
    <row r="163" spans="2:13">
      <c r="B163" s="439"/>
      <c r="C163" s="443" t="s">
        <v>195</v>
      </c>
      <c r="D163" s="444"/>
      <c r="E163" s="439" t="s">
        <v>196</v>
      </c>
      <c r="F163" s="439"/>
      <c r="G163" s="449" t="s">
        <v>69</v>
      </c>
      <c r="H163" s="453" t="s">
        <v>211</v>
      </c>
      <c r="I163" s="454" t="s">
        <v>199</v>
      </c>
      <c r="J163" s="443"/>
      <c r="K163" s="457"/>
      <c r="L163" s="439" t="s">
        <v>200</v>
      </c>
      <c r="M163" s="443" t="s">
        <v>201</v>
      </c>
    </row>
    <row r="164" spans="2:13" ht="30.75" customHeight="1">
      <c r="B164" s="390">
        <f>VLOOKUP($J159,'17-1（所得細目表　記載例）'!$B$9:$M$29,3,0)</f>
        <v>397792</v>
      </c>
      <c r="C164" s="390">
        <f>VLOOKUP($J159,'17-1（所得細目表　記載例）'!$B$9:$M$29,4,0)</f>
        <v>42750</v>
      </c>
      <c r="D164" s="390"/>
      <c r="E164" s="390">
        <f>VLOOKUP($J159,'17-1（所得細目表　記載例）'!$B$9:$M$29,5,0)</f>
        <v>440542</v>
      </c>
      <c r="F164" s="390">
        <f>VLOOKUP($J159,'17-1（所得細目表　記載例）'!$B$9:$M$29,6,0)</f>
        <v>231513</v>
      </c>
      <c r="G164" s="390">
        <f>VLOOKUP($J159,'17-1（所得細目表　記載例）'!$B$9:$M$29,7,0)</f>
        <v>0</v>
      </c>
      <c r="H164" s="390">
        <f>VLOOKUP($J159,'17-1（所得細目表　記載例）'!$B$9:$M$29,8,0)</f>
        <v>0</v>
      </c>
      <c r="I164" s="390">
        <f>VLOOKUP($J159,'17-1（所得細目表　記載例）'!$B$9:$M$29,9,0)</f>
        <v>231513</v>
      </c>
      <c r="J164" s="390">
        <f>VLOOKUP($J159,'17-1（所得細目表　記載例）'!$B$9:$M$29,10,0)</f>
        <v>108161</v>
      </c>
      <c r="K164" s="390"/>
      <c r="L164" s="390">
        <f>VLOOKUP($J159,'17-1（所得細目表　記載例）'!$B$9:$M$29,11,0)</f>
        <v>339674</v>
      </c>
      <c r="M164" s="390">
        <f>VLOOKUP($J159,'17-1（所得細目表　記載例）'!$B$9:$M$29,12,0)</f>
        <v>100868</v>
      </c>
    </row>
    <row r="166" spans="2:13">
      <c r="C166" s="1" t="s">
        <v>213</v>
      </c>
    </row>
    <row r="168" spans="2:13">
      <c r="B168" s="440"/>
      <c r="C168" s="440"/>
      <c r="D168" s="440"/>
      <c r="E168" s="440"/>
      <c r="F168" s="440"/>
      <c r="G168" s="440"/>
      <c r="H168" s="440"/>
      <c r="I168" s="440"/>
      <c r="J168" s="440"/>
      <c r="K168" s="440"/>
      <c r="L168" s="440"/>
      <c r="M168" s="440"/>
    </row>
    <row r="170" spans="2:13" ht="14.25">
      <c r="E170" s="460" t="str">
        <f>$E$2</f>
        <v>中山間地域等直接支払交付金に係る所得計算表(令和８年)</v>
      </c>
      <c r="F170" s="460"/>
      <c r="G170" s="460"/>
      <c r="H170" s="460"/>
      <c r="I170" s="460"/>
      <c r="J170" s="460"/>
    </row>
    <row r="172" spans="2:13" ht="14.25">
      <c r="H172" s="209"/>
      <c r="I172" s="209"/>
      <c r="J172" s="209"/>
    </row>
    <row r="173" spans="2:13" ht="14.25">
      <c r="F173" s="209" t="s">
        <v>39</v>
      </c>
      <c r="G173" s="446" t="str">
        <f>IF($J173="","",'17-1（所得細目表　記載例）'!$J$2)</f>
        <v>〇〇〇〇</v>
      </c>
      <c r="H173" s="450" t="s">
        <v>204</v>
      </c>
      <c r="I173" s="450"/>
      <c r="J173" s="456">
        <f>IF('17-1（所得細目表　記載例）'!B21="","",'17-1（所得細目表　記載例）'!B21)</f>
        <v>13</v>
      </c>
      <c r="L173" s="209" t="str">
        <f>VLOOKUP($J173,'17-1（所得細目表　記載例）'!$B$9:$M$29,2,0)</f>
        <v>島根　１３郎</v>
      </c>
      <c r="M173" s="458" t="s">
        <v>207</v>
      </c>
    </row>
    <row r="174" spans="2:13">
      <c r="D174" s="273"/>
      <c r="K174" s="273"/>
    </row>
    <row r="175" spans="2:13">
      <c r="B175" s="437" t="s">
        <v>140</v>
      </c>
      <c r="C175" s="441" t="s">
        <v>99</v>
      </c>
      <c r="E175" s="437" t="s">
        <v>186</v>
      </c>
      <c r="F175" s="437" t="s">
        <v>187</v>
      </c>
      <c r="G175" s="447"/>
      <c r="H175" s="451"/>
      <c r="I175" s="447" t="s">
        <v>33</v>
      </c>
      <c r="J175" s="441" t="s">
        <v>60</v>
      </c>
      <c r="L175" s="437" t="s">
        <v>172</v>
      </c>
      <c r="M175" s="459"/>
    </row>
    <row r="176" spans="2:13">
      <c r="B176" s="438" t="s">
        <v>105</v>
      </c>
      <c r="C176" s="442" t="s">
        <v>3</v>
      </c>
      <c r="E176" s="438" t="s">
        <v>86</v>
      </c>
      <c r="F176" s="438" t="s">
        <v>208</v>
      </c>
      <c r="G176" s="448" t="s">
        <v>110</v>
      </c>
      <c r="H176" s="452" t="s">
        <v>210</v>
      </c>
      <c r="I176" s="455" t="s">
        <v>53</v>
      </c>
      <c r="J176" s="442" t="s">
        <v>192</v>
      </c>
      <c r="L176" s="438" t="s">
        <v>193</v>
      </c>
      <c r="M176" s="442" t="s">
        <v>189</v>
      </c>
    </row>
    <row r="177" spans="2:13">
      <c r="B177" s="439"/>
      <c r="C177" s="443" t="s">
        <v>195</v>
      </c>
      <c r="D177" s="444"/>
      <c r="E177" s="439" t="s">
        <v>196</v>
      </c>
      <c r="F177" s="439"/>
      <c r="G177" s="449" t="s">
        <v>69</v>
      </c>
      <c r="H177" s="453" t="s">
        <v>211</v>
      </c>
      <c r="I177" s="454" t="s">
        <v>199</v>
      </c>
      <c r="J177" s="443"/>
      <c r="K177" s="457"/>
      <c r="L177" s="439" t="s">
        <v>200</v>
      </c>
      <c r="M177" s="443" t="s">
        <v>201</v>
      </c>
    </row>
    <row r="178" spans="2:13" ht="30.75" customHeight="1">
      <c r="B178" s="390">
        <f>VLOOKUP($J173,'17-1（所得細目表　記載例）'!$B$9:$M$29,3,0)</f>
        <v>171323</v>
      </c>
      <c r="C178" s="390">
        <f>VLOOKUP($J173,'17-1（所得細目表　記載例）'!$B$9:$M$29,4,0)</f>
        <v>30000</v>
      </c>
      <c r="D178" s="390"/>
      <c r="E178" s="390">
        <f>VLOOKUP($J173,'17-1（所得細目表　記載例）'!$B$9:$M$29,5,0)</f>
        <v>201323</v>
      </c>
      <c r="F178" s="390">
        <f>VLOOKUP($J173,'17-1（所得細目表　記載例）'!$B$9:$M$29,6,0)</f>
        <v>78276</v>
      </c>
      <c r="G178" s="390">
        <f>VLOOKUP($J173,'17-1（所得細目表　記載例）'!$B$9:$M$29,7,0)</f>
        <v>0</v>
      </c>
      <c r="H178" s="390">
        <f>VLOOKUP($J173,'17-1（所得細目表　記載例）'!$B$9:$M$29,8,0)</f>
        <v>20000</v>
      </c>
      <c r="I178" s="390">
        <f>VLOOKUP($J173,'17-1（所得細目表　記載例）'!$B$9:$M$29,9,0)</f>
        <v>58276</v>
      </c>
      <c r="J178" s="390">
        <f>VLOOKUP($J173,'17-1（所得細目表　記載例）'!$B$9:$M$29,10,0)</f>
        <v>52786</v>
      </c>
      <c r="K178" s="390"/>
      <c r="L178" s="390">
        <f>VLOOKUP($J173,'17-1（所得細目表　記載例）'!$B$9:$M$29,11,0)</f>
        <v>111062</v>
      </c>
      <c r="M178" s="390">
        <f>VLOOKUP($J173,'17-1（所得細目表　記載例）'!$B$9:$M$29,12,0)</f>
        <v>90261</v>
      </c>
    </row>
    <row r="180" spans="2:13">
      <c r="C180" s="1" t="s">
        <v>213</v>
      </c>
    </row>
    <row r="182" spans="2:13">
      <c r="B182" s="440"/>
      <c r="C182" s="440"/>
      <c r="D182" s="440"/>
      <c r="E182" s="440"/>
      <c r="F182" s="440"/>
      <c r="G182" s="440"/>
      <c r="H182" s="440"/>
      <c r="I182" s="440"/>
      <c r="J182" s="440"/>
      <c r="K182" s="440"/>
      <c r="L182" s="440"/>
      <c r="M182" s="440"/>
    </row>
    <row r="184" spans="2:13" ht="14.25">
      <c r="E184" s="460" t="str">
        <f>$E$2</f>
        <v>中山間地域等直接支払交付金に係る所得計算表(令和８年)</v>
      </c>
      <c r="F184" s="460"/>
      <c r="G184" s="460"/>
      <c r="H184" s="460"/>
      <c r="I184" s="460"/>
      <c r="J184" s="460"/>
    </row>
    <row r="186" spans="2:13" ht="14.25">
      <c r="H186" s="209"/>
      <c r="I186" s="209"/>
      <c r="J186" s="209"/>
    </row>
    <row r="187" spans="2:13" ht="14.25">
      <c r="F187" s="209" t="s">
        <v>39</v>
      </c>
      <c r="G187" s="446" t="str">
        <f>IF($J187="","",'17-1（所得細目表　記載例）'!$J$2)</f>
        <v>〇〇〇〇</v>
      </c>
      <c r="H187" s="450" t="s">
        <v>204</v>
      </c>
      <c r="I187" s="450"/>
      <c r="J187" s="456">
        <f>IF('17-1（所得細目表　記載例）'!B22="","",'17-1（所得細目表　記載例）'!B22)</f>
        <v>14</v>
      </c>
      <c r="L187" s="209" t="str">
        <f>VLOOKUP($J187,'17-1（所得細目表　記載例）'!$B$9:$M$29,2,0)</f>
        <v>島根　１４郎</v>
      </c>
      <c r="M187" s="458" t="s">
        <v>207</v>
      </c>
    </row>
    <row r="188" spans="2:13">
      <c r="D188" s="273"/>
      <c r="K188" s="273"/>
    </row>
    <row r="189" spans="2:13">
      <c r="B189" s="437" t="s">
        <v>140</v>
      </c>
      <c r="C189" s="441" t="s">
        <v>99</v>
      </c>
      <c r="E189" s="437" t="s">
        <v>186</v>
      </c>
      <c r="F189" s="437" t="s">
        <v>187</v>
      </c>
      <c r="G189" s="447"/>
      <c r="H189" s="451"/>
      <c r="I189" s="447" t="s">
        <v>33</v>
      </c>
      <c r="J189" s="441" t="s">
        <v>60</v>
      </c>
      <c r="L189" s="437" t="s">
        <v>172</v>
      </c>
      <c r="M189" s="459"/>
    </row>
    <row r="190" spans="2:13">
      <c r="B190" s="438" t="s">
        <v>105</v>
      </c>
      <c r="C190" s="442" t="s">
        <v>3</v>
      </c>
      <c r="E190" s="438" t="s">
        <v>86</v>
      </c>
      <c r="F190" s="438" t="s">
        <v>208</v>
      </c>
      <c r="G190" s="448" t="s">
        <v>110</v>
      </c>
      <c r="H190" s="452" t="s">
        <v>210</v>
      </c>
      <c r="I190" s="455" t="s">
        <v>53</v>
      </c>
      <c r="J190" s="442" t="s">
        <v>192</v>
      </c>
      <c r="L190" s="438" t="s">
        <v>193</v>
      </c>
      <c r="M190" s="442" t="s">
        <v>189</v>
      </c>
    </row>
    <row r="191" spans="2:13">
      <c r="B191" s="439"/>
      <c r="C191" s="443" t="s">
        <v>195</v>
      </c>
      <c r="D191" s="444"/>
      <c r="E191" s="439" t="s">
        <v>196</v>
      </c>
      <c r="F191" s="439"/>
      <c r="G191" s="449" t="s">
        <v>69</v>
      </c>
      <c r="H191" s="453" t="s">
        <v>211</v>
      </c>
      <c r="I191" s="454" t="s">
        <v>199</v>
      </c>
      <c r="J191" s="443"/>
      <c r="K191" s="457"/>
      <c r="L191" s="439" t="s">
        <v>200</v>
      </c>
      <c r="M191" s="443" t="s">
        <v>201</v>
      </c>
    </row>
    <row r="192" spans="2:13" ht="30.75" customHeight="1">
      <c r="B192" s="390">
        <f>VLOOKUP($J187,'17-1（所得細目表　記載例）'!$B$9:$M$29,3,0)</f>
        <v>208677</v>
      </c>
      <c r="C192" s="390">
        <f>VLOOKUP($J187,'17-1（所得細目表　記載例）'!$B$9:$M$29,4,0)</f>
        <v>30000</v>
      </c>
      <c r="D192" s="390"/>
      <c r="E192" s="390">
        <f>VLOOKUP($J187,'17-1（所得細目表　記載例）'!$B$9:$M$29,5,0)</f>
        <v>238677</v>
      </c>
      <c r="F192" s="390">
        <f>VLOOKUP($J187,'17-1（所得細目表　記載例）'!$B$9:$M$29,6,0)</f>
        <v>121589</v>
      </c>
      <c r="G192" s="390">
        <f>VLOOKUP($J187,'17-1（所得細目表　記載例）'!$B$9:$M$29,7,0)</f>
        <v>0</v>
      </c>
      <c r="H192" s="390">
        <f>VLOOKUP($J187,'17-1（所得細目表　記載例）'!$B$9:$M$29,8,0)</f>
        <v>0</v>
      </c>
      <c r="I192" s="390">
        <f>VLOOKUP($J187,'17-1（所得細目表　記載例）'!$B$9:$M$29,9,0)</f>
        <v>121589</v>
      </c>
      <c r="J192" s="390">
        <f>VLOOKUP($J187,'17-1（所得細目表　記載例）'!$B$9:$M$29,10,0)</f>
        <v>78370</v>
      </c>
      <c r="K192" s="390"/>
      <c r="L192" s="390">
        <f>VLOOKUP($J187,'17-1（所得細目表　記載例）'!$B$9:$M$29,11,0)</f>
        <v>199959</v>
      </c>
      <c r="M192" s="390">
        <f>VLOOKUP($J187,'17-1（所得細目表　記載例）'!$B$9:$M$29,12,0)</f>
        <v>38718</v>
      </c>
    </row>
    <row r="194" spans="2:13">
      <c r="C194" s="1" t="s">
        <v>213</v>
      </c>
    </row>
    <row r="196" spans="2:13">
      <c r="B196" s="440"/>
      <c r="C196" s="440"/>
      <c r="D196" s="440"/>
      <c r="E196" s="440"/>
      <c r="F196" s="440"/>
      <c r="G196" s="440"/>
      <c r="H196" s="440"/>
      <c r="I196" s="440"/>
      <c r="J196" s="440"/>
      <c r="K196" s="440"/>
      <c r="L196" s="440"/>
      <c r="M196" s="440"/>
    </row>
    <row r="198" spans="2:13" ht="14.25">
      <c r="E198" s="460" t="str">
        <f>$E$2</f>
        <v>中山間地域等直接支払交付金に係る所得計算表(令和８年)</v>
      </c>
      <c r="F198" s="460"/>
      <c r="G198" s="460"/>
      <c r="H198" s="460"/>
      <c r="I198" s="460"/>
      <c r="J198" s="460"/>
    </row>
    <row r="200" spans="2:13" ht="14.25">
      <c r="H200" s="209"/>
      <c r="I200" s="209"/>
      <c r="J200" s="209"/>
    </row>
    <row r="201" spans="2:13" ht="14.25">
      <c r="F201" s="209" t="s">
        <v>39</v>
      </c>
      <c r="G201" s="446" t="str">
        <f>IF($J201="","",'17-1（所得細目表　記載例）'!$J$2)</f>
        <v/>
      </c>
      <c r="H201" s="450" t="s">
        <v>204</v>
      </c>
      <c r="I201" s="450"/>
      <c r="J201" s="456" t="str">
        <f>IF('17-1（所得細目表　記載例）'!B23="","",'17-1（所得細目表　記載例）'!B23)</f>
        <v/>
      </c>
      <c r="L201" s="209">
        <f>VLOOKUP($J201,'17-1（所得細目表　記載例）'!$B$9:$M$29,2,0)</f>
        <v>0</v>
      </c>
      <c r="M201" s="458" t="s">
        <v>207</v>
      </c>
    </row>
    <row r="202" spans="2:13">
      <c r="D202" s="273"/>
      <c r="K202" s="273"/>
    </row>
    <row r="203" spans="2:13">
      <c r="B203" s="437" t="s">
        <v>140</v>
      </c>
      <c r="C203" s="441" t="s">
        <v>99</v>
      </c>
      <c r="E203" s="437" t="s">
        <v>186</v>
      </c>
      <c r="F203" s="437" t="s">
        <v>187</v>
      </c>
      <c r="G203" s="447"/>
      <c r="H203" s="451"/>
      <c r="I203" s="447" t="s">
        <v>33</v>
      </c>
      <c r="J203" s="441" t="s">
        <v>60</v>
      </c>
      <c r="L203" s="437" t="s">
        <v>172</v>
      </c>
      <c r="M203" s="459"/>
    </row>
    <row r="204" spans="2:13">
      <c r="B204" s="438" t="s">
        <v>105</v>
      </c>
      <c r="C204" s="442" t="s">
        <v>3</v>
      </c>
      <c r="E204" s="438" t="s">
        <v>86</v>
      </c>
      <c r="F204" s="438" t="s">
        <v>208</v>
      </c>
      <c r="G204" s="448" t="s">
        <v>110</v>
      </c>
      <c r="H204" s="452" t="s">
        <v>210</v>
      </c>
      <c r="I204" s="455" t="s">
        <v>53</v>
      </c>
      <c r="J204" s="442" t="s">
        <v>192</v>
      </c>
      <c r="L204" s="438" t="s">
        <v>193</v>
      </c>
      <c r="M204" s="442" t="s">
        <v>189</v>
      </c>
    </row>
    <row r="205" spans="2:13">
      <c r="B205" s="439"/>
      <c r="C205" s="443" t="s">
        <v>195</v>
      </c>
      <c r="D205" s="444"/>
      <c r="E205" s="439" t="s">
        <v>196</v>
      </c>
      <c r="F205" s="439"/>
      <c r="G205" s="449" t="s">
        <v>69</v>
      </c>
      <c r="H205" s="453" t="s">
        <v>211</v>
      </c>
      <c r="I205" s="454" t="s">
        <v>199</v>
      </c>
      <c r="J205" s="443"/>
      <c r="K205" s="457"/>
      <c r="L205" s="439" t="s">
        <v>200</v>
      </c>
      <c r="M205" s="443" t="s">
        <v>201</v>
      </c>
    </row>
    <row r="206" spans="2:13" ht="30.75" customHeight="1">
      <c r="B206" s="390" t="str">
        <f>VLOOKUP($J201,'17-1（所得細目表　記載例）'!$B$9:$M$29,3,0)</f>
        <v/>
      </c>
      <c r="C206" s="390" t="str">
        <f>VLOOKUP($J201,'17-1（所得細目表　記載例）'!$B$9:$M$29,4,0)</f>
        <v/>
      </c>
      <c r="D206" s="390"/>
      <c r="E206" s="390" t="str">
        <f>VLOOKUP($J201,'17-1（所得細目表　記載例）'!$B$9:$M$29,5,0)</f>
        <v/>
      </c>
      <c r="F206" s="390" t="str">
        <f>VLOOKUP($J201,'17-1（所得細目表　記載例）'!$B$9:$M$29,6,0)</f>
        <v/>
      </c>
      <c r="G206" s="390">
        <f>VLOOKUP($J201,'17-1（所得細目表　記載例）'!$B$9:$M$29,7,0)</f>
        <v>0</v>
      </c>
      <c r="H206" s="390">
        <f>VLOOKUP($J201,'17-1（所得細目表　記載例）'!$B$9:$M$29,8,0)</f>
        <v>0</v>
      </c>
      <c r="I206" s="390" t="str">
        <f>VLOOKUP($J201,'17-1（所得細目表　記載例）'!$B$9:$M$29,9,0)</f>
        <v/>
      </c>
      <c r="J206" s="390" t="str">
        <f>VLOOKUP($J201,'17-1（所得細目表　記載例）'!$B$9:$M$29,10,0)</f>
        <v/>
      </c>
      <c r="K206" s="390"/>
      <c r="L206" s="390" t="str">
        <f>VLOOKUP($J201,'17-1（所得細目表　記載例）'!$B$9:$M$29,11,0)</f>
        <v/>
      </c>
      <c r="M206" s="390" t="str">
        <f>VLOOKUP($J201,'17-1（所得細目表　記載例）'!$B$9:$M$29,12,0)</f>
        <v/>
      </c>
    </row>
    <row r="208" spans="2:13">
      <c r="C208" s="1" t="s">
        <v>213</v>
      </c>
    </row>
    <row r="210" spans="2:13">
      <c r="B210" s="440"/>
      <c r="C210" s="440"/>
      <c r="D210" s="440"/>
      <c r="E210" s="440"/>
      <c r="F210" s="440"/>
      <c r="G210" s="440"/>
      <c r="H210" s="440"/>
      <c r="I210" s="440"/>
      <c r="J210" s="440"/>
      <c r="K210" s="440"/>
      <c r="L210" s="440"/>
      <c r="M210" s="440"/>
    </row>
    <row r="212" spans="2:13" ht="14.25">
      <c r="E212" s="460" t="str">
        <f>$E$2</f>
        <v>中山間地域等直接支払交付金に係る所得計算表(令和８年)</v>
      </c>
      <c r="F212" s="460"/>
      <c r="G212" s="460"/>
      <c r="H212" s="460"/>
      <c r="I212" s="460"/>
      <c r="J212" s="460"/>
    </row>
    <row r="214" spans="2:13" ht="14.25">
      <c r="H214" s="209"/>
      <c r="I214" s="209"/>
      <c r="J214" s="209"/>
    </row>
    <row r="215" spans="2:13" ht="14.25">
      <c r="F215" s="209" t="s">
        <v>39</v>
      </c>
      <c r="G215" s="446" t="str">
        <f>IF($J215="","",'17-1（所得細目表　記載例）'!$J$2)</f>
        <v/>
      </c>
      <c r="H215" s="450" t="s">
        <v>204</v>
      </c>
      <c r="I215" s="450"/>
      <c r="J215" s="456" t="str">
        <f>IF('17-1（所得細目表　記載例）'!B24="","",'17-1（所得細目表　記載例）'!B24)</f>
        <v/>
      </c>
      <c r="L215" s="209">
        <f>VLOOKUP($J215,'17-1（所得細目表　記載例）'!$B$9:$M$29,2,0)</f>
        <v>0</v>
      </c>
      <c r="M215" s="458" t="s">
        <v>207</v>
      </c>
    </row>
    <row r="216" spans="2:13">
      <c r="D216" s="273"/>
      <c r="K216" s="273"/>
    </row>
    <row r="217" spans="2:13">
      <c r="B217" s="437" t="s">
        <v>140</v>
      </c>
      <c r="C217" s="441" t="s">
        <v>99</v>
      </c>
      <c r="E217" s="437" t="s">
        <v>186</v>
      </c>
      <c r="F217" s="437" t="s">
        <v>187</v>
      </c>
      <c r="G217" s="447"/>
      <c r="H217" s="451"/>
      <c r="I217" s="447" t="s">
        <v>33</v>
      </c>
      <c r="J217" s="441" t="s">
        <v>60</v>
      </c>
      <c r="L217" s="437" t="s">
        <v>172</v>
      </c>
      <c r="M217" s="459"/>
    </row>
    <row r="218" spans="2:13">
      <c r="B218" s="438" t="s">
        <v>105</v>
      </c>
      <c r="C218" s="442" t="s">
        <v>3</v>
      </c>
      <c r="E218" s="438" t="s">
        <v>86</v>
      </c>
      <c r="F218" s="438" t="s">
        <v>208</v>
      </c>
      <c r="G218" s="448" t="s">
        <v>110</v>
      </c>
      <c r="H218" s="452" t="s">
        <v>210</v>
      </c>
      <c r="I218" s="455" t="s">
        <v>53</v>
      </c>
      <c r="J218" s="442" t="s">
        <v>192</v>
      </c>
      <c r="L218" s="438" t="s">
        <v>193</v>
      </c>
      <c r="M218" s="442" t="s">
        <v>189</v>
      </c>
    </row>
    <row r="219" spans="2:13">
      <c r="B219" s="439"/>
      <c r="C219" s="443" t="s">
        <v>195</v>
      </c>
      <c r="D219" s="444"/>
      <c r="E219" s="439" t="s">
        <v>196</v>
      </c>
      <c r="F219" s="439"/>
      <c r="G219" s="449" t="s">
        <v>69</v>
      </c>
      <c r="H219" s="453" t="s">
        <v>211</v>
      </c>
      <c r="I219" s="454" t="s">
        <v>199</v>
      </c>
      <c r="J219" s="443"/>
      <c r="K219" s="457"/>
      <c r="L219" s="439" t="s">
        <v>200</v>
      </c>
      <c r="M219" s="443" t="s">
        <v>201</v>
      </c>
    </row>
    <row r="220" spans="2:13" ht="30.75" customHeight="1">
      <c r="B220" s="390" t="str">
        <f>VLOOKUP($J215,'17-1（所得細目表　記載例）'!$B$9:$M$29,3,0)</f>
        <v/>
      </c>
      <c r="C220" s="390" t="str">
        <f>VLOOKUP($J215,'17-1（所得細目表　記載例）'!$B$9:$M$29,4,0)</f>
        <v/>
      </c>
      <c r="D220" s="390"/>
      <c r="E220" s="390" t="str">
        <f>VLOOKUP($J215,'17-1（所得細目表　記載例）'!$B$9:$M$29,5,0)</f>
        <v/>
      </c>
      <c r="F220" s="390" t="str">
        <f>VLOOKUP($J215,'17-1（所得細目表　記載例）'!$B$9:$M$29,6,0)</f>
        <v/>
      </c>
      <c r="G220" s="390">
        <f>VLOOKUP($J215,'17-1（所得細目表　記載例）'!$B$9:$M$29,7,0)</f>
        <v>0</v>
      </c>
      <c r="H220" s="390">
        <f>VLOOKUP($J215,'17-1（所得細目表　記載例）'!$B$9:$M$29,8,0)</f>
        <v>0</v>
      </c>
      <c r="I220" s="390" t="str">
        <f>VLOOKUP($J215,'17-1（所得細目表　記載例）'!$B$9:$M$29,9,0)</f>
        <v/>
      </c>
      <c r="J220" s="390" t="str">
        <f>VLOOKUP($J215,'17-1（所得細目表　記載例）'!$B$9:$M$29,10,0)</f>
        <v/>
      </c>
      <c r="K220" s="390"/>
      <c r="L220" s="390" t="str">
        <f>VLOOKUP($J215,'17-1（所得細目表　記載例）'!$B$9:$M$29,11,0)</f>
        <v/>
      </c>
      <c r="M220" s="390" t="str">
        <f>VLOOKUP($J215,'17-1（所得細目表　記載例）'!$B$9:$M$29,12,0)</f>
        <v/>
      </c>
    </row>
    <row r="222" spans="2:13">
      <c r="C222" s="1" t="s">
        <v>213</v>
      </c>
    </row>
    <row r="224" spans="2:13">
      <c r="B224" s="440"/>
      <c r="C224" s="440"/>
      <c r="D224" s="440"/>
      <c r="E224" s="440"/>
      <c r="F224" s="440"/>
      <c r="G224" s="440"/>
      <c r="H224" s="440"/>
      <c r="I224" s="440"/>
      <c r="J224" s="440"/>
      <c r="K224" s="440"/>
      <c r="L224" s="440"/>
      <c r="M224" s="440"/>
    </row>
    <row r="226" spans="2:13" ht="14.25">
      <c r="E226" s="460" t="str">
        <f>$E$2</f>
        <v>中山間地域等直接支払交付金に係る所得計算表(令和８年)</v>
      </c>
      <c r="F226" s="460"/>
      <c r="G226" s="460"/>
      <c r="H226" s="460"/>
      <c r="I226" s="460"/>
      <c r="J226" s="460"/>
    </row>
    <row r="228" spans="2:13" ht="14.25">
      <c r="H228" s="209"/>
      <c r="I228" s="209"/>
      <c r="J228" s="209"/>
    </row>
    <row r="229" spans="2:13" ht="14.25">
      <c r="F229" s="209" t="s">
        <v>39</v>
      </c>
      <c r="G229" s="446" t="str">
        <f>IF($J229="","",'17-1（所得細目表　記載例）'!$J$2)</f>
        <v/>
      </c>
      <c r="H229" s="450" t="s">
        <v>204</v>
      </c>
      <c r="I229" s="450"/>
      <c r="J229" s="456" t="str">
        <f>IF('17-1（所得細目表　記載例）'!B25="","",'17-1（所得細目表　記載例）'!B25)</f>
        <v/>
      </c>
      <c r="L229" s="209">
        <f>VLOOKUP($J229,'17-1（所得細目表　記載例）'!$B$9:$M$29,2,0)</f>
        <v>0</v>
      </c>
      <c r="M229" s="458" t="s">
        <v>207</v>
      </c>
    </row>
    <row r="230" spans="2:13">
      <c r="D230" s="273"/>
      <c r="K230" s="273"/>
    </row>
    <row r="231" spans="2:13">
      <c r="B231" s="437" t="s">
        <v>140</v>
      </c>
      <c r="C231" s="441" t="s">
        <v>99</v>
      </c>
      <c r="E231" s="437" t="s">
        <v>186</v>
      </c>
      <c r="F231" s="437" t="s">
        <v>187</v>
      </c>
      <c r="G231" s="447"/>
      <c r="H231" s="451"/>
      <c r="I231" s="447" t="s">
        <v>33</v>
      </c>
      <c r="J231" s="441" t="s">
        <v>60</v>
      </c>
      <c r="L231" s="437" t="s">
        <v>172</v>
      </c>
      <c r="M231" s="459"/>
    </row>
    <row r="232" spans="2:13">
      <c r="B232" s="438" t="s">
        <v>105</v>
      </c>
      <c r="C232" s="442" t="s">
        <v>3</v>
      </c>
      <c r="E232" s="438" t="s">
        <v>86</v>
      </c>
      <c r="F232" s="438" t="s">
        <v>208</v>
      </c>
      <c r="G232" s="448" t="s">
        <v>110</v>
      </c>
      <c r="H232" s="452" t="s">
        <v>210</v>
      </c>
      <c r="I232" s="455" t="s">
        <v>53</v>
      </c>
      <c r="J232" s="442" t="s">
        <v>192</v>
      </c>
      <c r="L232" s="438" t="s">
        <v>193</v>
      </c>
      <c r="M232" s="442" t="s">
        <v>189</v>
      </c>
    </row>
    <row r="233" spans="2:13">
      <c r="B233" s="439"/>
      <c r="C233" s="443" t="s">
        <v>195</v>
      </c>
      <c r="D233" s="444"/>
      <c r="E233" s="439" t="s">
        <v>196</v>
      </c>
      <c r="F233" s="439"/>
      <c r="G233" s="449" t="s">
        <v>69</v>
      </c>
      <c r="H233" s="453" t="s">
        <v>211</v>
      </c>
      <c r="I233" s="454" t="s">
        <v>199</v>
      </c>
      <c r="J233" s="443"/>
      <c r="K233" s="457"/>
      <c r="L233" s="439" t="s">
        <v>200</v>
      </c>
      <c r="M233" s="443" t="s">
        <v>201</v>
      </c>
    </row>
    <row r="234" spans="2:13" ht="30.75" customHeight="1">
      <c r="B234" s="390" t="str">
        <f>VLOOKUP($J229,'17-1（所得細目表　記載例）'!$B$9:$M$29,3,0)</f>
        <v/>
      </c>
      <c r="C234" s="390" t="str">
        <f>VLOOKUP($J229,'17-1（所得細目表　記載例）'!$B$9:$M$29,4,0)</f>
        <v/>
      </c>
      <c r="D234" s="390"/>
      <c r="E234" s="390" t="str">
        <f>VLOOKUP($J229,'17-1（所得細目表　記載例）'!$B$9:$M$29,5,0)</f>
        <v/>
      </c>
      <c r="F234" s="390" t="str">
        <f>VLOOKUP($J229,'17-1（所得細目表　記載例）'!$B$9:$M$29,6,0)</f>
        <v/>
      </c>
      <c r="G234" s="390">
        <f>VLOOKUP($J229,'17-1（所得細目表　記載例）'!$B$9:$M$29,7,0)</f>
        <v>0</v>
      </c>
      <c r="H234" s="390">
        <f>VLOOKUP($J229,'17-1（所得細目表　記載例）'!$B$9:$M$29,8,0)</f>
        <v>0</v>
      </c>
      <c r="I234" s="390" t="str">
        <f>VLOOKUP($J229,'17-1（所得細目表　記載例）'!$B$9:$M$29,9,0)</f>
        <v/>
      </c>
      <c r="J234" s="390" t="str">
        <f>VLOOKUP($J229,'17-1（所得細目表　記載例）'!$B$9:$M$29,10,0)</f>
        <v/>
      </c>
      <c r="K234" s="390"/>
      <c r="L234" s="390" t="str">
        <f>VLOOKUP($J229,'17-1（所得細目表　記載例）'!$B$9:$M$29,11,0)</f>
        <v/>
      </c>
      <c r="M234" s="390" t="str">
        <f>VLOOKUP($J229,'17-1（所得細目表　記載例）'!$B$9:$M$29,12,0)</f>
        <v/>
      </c>
    </row>
    <row r="236" spans="2:13">
      <c r="C236" s="1" t="s">
        <v>213</v>
      </c>
    </row>
    <row r="238" spans="2:13">
      <c r="B238" s="440"/>
      <c r="C238" s="440"/>
      <c r="D238" s="440"/>
      <c r="E238" s="440"/>
      <c r="F238" s="440"/>
      <c r="G238" s="440"/>
      <c r="H238" s="440"/>
      <c r="I238" s="440"/>
      <c r="J238" s="440"/>
      <c r="K238" s="440"/>
      <c r="L238" s="440"/>
      <c r="M238" s="440"/>
    </row>
    <row r="240" spans="2:13" ht="14.25">
      <c r="E240" s="460" t="str">
        <f>$E$2</f>
        <v>中山間地域等直接支払交付金に係る所得計算表(令和８年)</v>
      </c>
      <c r="F240" s="460"/>
      <c r="G240" s="460"/>
      <c r="H240" s="460"/>
      <c r="I240" s="460"/>
      <c r="J240" s="460"/>
    </row>
    <row r="242" spans="2:13" ht="14.25">
      <c r="H242" s="209"/>
      <c r="I242" s="209"/>
      <c r="J242" s="209"/>
    </row>
    <row r="243" spans="2:13" ht="14.25">
      <c r="F243" s="209" t="s">
        <v>39</v>
      </c>
      <c r="G243" s="446" t="str">
        <f>IF($J243="","",'17-1（所得細目表　記載例）'!$J$2)</f>
        <v/>
      </c>
      <c r="H243" s="450" t="s">
        <v>204</v>
      </c>
      <c r="I243" s="450"/>
      <c r="J243" s="456" t="str">
        <f>IF('17-1（所得細目表　記載例）'!B26="","",'17-1（所得細目表　記載例）'!B26)</f>
        <v/>
      </c>
      <c r="L243" s="209">
        <f>VLOOKUP($J243,'17-1（所得細目表　記載例）'!$B$9:$M$29,2,0)</f>
        <v>0</v>
      </c>
      <c r="M243" s="458" t="s">
        <v>207</v>
      </c>
    </row>
    <row r="244" spans="2:13">
      <c r="D244" s="273"/>
      <c r="K244" s="273"/>
    </row>
    <row r="245" spans="2:13">
      <c r="B245" s="437" t="s">
        <v>140</v>
      </c>
      <c r="C245" s="441" t="s">
        <v>99</v>
      </c>
      <c r="E245" s="437" t="s">
        <v>186</v>
      </c>
      <c r="F245" s="437" t="s">
        <v>187</v>
      </c>
      <c r="G245" s="447"/>
      <c r="H245" s="451"/>
      <c r="I245" s="447" t="s">
        <v>33</v>
      </c>
      <c r="J245" s="441" t="s">
        <v>60</v>
      </c>
      <c r="L245" s="437" t="s">
        <v>172</v>
      </c>
      <c r="M245" s="459"/>
    </row>
    <row r="246" spans="2:13">
      <c r="B246" s="438" t="s">
        <v>105</v>
      </c>
      <c r="C246" s="442" t="s">
        <v>3</v>
      </c>
      <c r="E246" s="438" t="s">
        <v>86</v>
      </c>
      <c r="F246" s="438" t="s">
        <v>208</v>
      </c>
      <c r="G246" s="448" t="s">
        <v>110</v>
      </c>
      <c r="H246" s="452" t="s">
        <v>210</v>
      </c>
      <c r="I246" s="455" t="s">
        <v>53</v>
      </c>
      <c r="J246" s="442" t="s">
        <v>192</v>
      </c>
      <c r="L246" s="438" t="s">
        <v>193</v>
      </c>
      <c r="M246" s="442" t="s">
        <v>189</v>
      </c>
    </row>
    <row r="247" spans="2:13">
      <c r="B247" s="439"/>
      <c r="C247" s="443" t="s">
        <v>195</v>
      </c>
      <c r="D247" s="444"/>
      <c r="E247" s="439" t="s">
        <v>196</v>
      </c>
      <c r="F247" s="439"/>
      <c r="G247" s="449" t="s">
        <v>69</v>
      </c>
      <c r="H247" s="453" t="s">
        <v>211</v>
      </c>
      <c r="I247" s="454" t="s">
        <v>199</v>
      </c>
      <c r="J247" s="443"/>
      <c r="K247" s="457"/>
      <c r="L247" s="439" t="s">
        <v>200</v>
      </c>
      <c r="M247" s="443" t="s">
        <v>201</v>
      </c>
    </row>
    <row r="248" spans="2:13" ht="30.75" customHeight="1">
      <c r="B248" s="390" t="str">
        <f>VLOOKUP($J243,'17-1（所得細目表　記載例）'!$B$9:$M$29,3,0)</f>
        <v/>
      </c>
      <c r="C248" s="390" t="str">
        <f>VLOOKUP($J243,'17-1（所得細目表　記載例）'!$B$9:$M$29,4,0)</f>
        <v/>
      </c>
      <c r="D248" s="390"/>
      <c r="E248" s="390" t="str">
        <f>VLOOKUP($J243,'17-1（所得細目表　記載例）'!$B$9:$M$29,5,0)</f>
        <v/>
      </c>
      <c r="F248" s="390" t="str">
        <f>VLOOKUP($J243,'17-1（所得細目表　記載例）'!$B$9:$M$29,6,0)</f>
        <v/>
      </c>
      <c r="G248" s="390">
        <f>VLOOKUP($J243,'17-1（所得細目表　記載例）'!$B$9:$M$29,7,0)</f>
        <v>0</v>
      </c>
      <c r="H248" s="390">
        <f>VLOOKUP($J243,'17-1（所得細目表　記載例）'!$B$9:$M$29,8,0)</f>
        <v>0</v>
      </c>
      <c r="I248" s="390" t="str">
        <f>VLOOKUP($J243,'17-1（所得細目表　記載例）'!$B$9:$M$29,9,0)</f>
        <v/>
      </c>
      <c r="J248" s="390" t="str">
        <f>VLOOKUP($J243,'17-1（所得細目表　記載例）'!$B$9:$M$29,10,0)</f>
        <v/>
      </c>
      <c r="K248" s="390"/>
      <c r="L248" s="390" t="str">
        <f>VLOOKUP($J243,'17-1（所得細目表　記載例）'!$B$9:$M$29,11,0)</f>
        <v/>
      </c>
      <c r="M248" s="390" t="str">
        <f>VLOOKUP($J243,'17-1（所得細目表　記載例）'!$B$9:$M$29,12,0)</f>
        <v/>
      </c>
    </row>
    <row r="250" spans="2:13">
      <c r="C250" s="1" t="s">
        <v>213</v>
      </c>
    </row>
    <row r="252" spans="2:13">
      <c r="B252" s="440"/>
      <c r="C252" s="440"/>
      <c r="D252" s="440"/>
      <c r="E252" s="440"/>
      <c r="F252" s="440"/>
      <c r="G252" s="440"/>
      <c r="H252" s="440"/>
      <c r="I252" s="440"/>
      <c r="J252" s="440"/>
      <c r="K252" s="440"/>
      <c r="L252" s="440"/>
      <c r="M252" s="440"/>
    </row>
    <row r="254" spans="2:13" ht="14.25">
      <c r="E254" s="460" t="str">
        <f>$E$2</f>
        <v>中山間地域等直接支払交付金に係る所得計算表(令和８年)</v>
      </c>
      <c r="F254" s="460"/>
      <c r="G254" s="460"/>
      <c r="H254" s="460"/>
      <c r="I254" s="460"/>
      <c r="J254" s="460"/>
    </row>
    <row r="256" spans="2:13" ht="14.25">
      <c r="H256" s="209"/>
      <c r="I256" s="209"/>
      <c r="J256" s="209"/>
    </row>
    <row r="257" spans="2:13" ht="14.25">
      <c r="F257" s="209" t="s">
        <v>39</v>
      </c>
      <c r="G257" s="446" t="str">
        <f>IF($J257="","",'17-1（所得細目表　記載例）'!$J$2)</f>
        <v/>
      </c>
      <c r="H257" s="450" t="s">
        <v>204</v>
      </c>
      <c r="I257" s="450"/>
      <c r="J257" s="456" t="str">
        <f>IF('17-1（所得細目表　記載例）'!B27="","",'17-1（所得細目表　記載例）'!B27)</f>
        <v/>
      </c>
      <c r="L257" s="209">
        <f>VLOOKUP($J257,'17-1（所得細目表　記載例）'!$B$9:$M$29,2,0)</f>
        <v>0</v>
      </c>
      <c r="M257" s="458" t="s">
        <v>207</v>
      </c>
    </row>
    <row r="258" spans="2:13">
      <c r="D258" s="273"/>
      <c r="K258" s="273"/>
    </row>
    <row r="259" spans="2:13">
      <c r="B259" s="437" t="s">
        <v>140</v>
      </c>
      <c r="C259" s="441" t="s">
        <v>99</v>
      </c>
      <c r="E259" s="437" t="s">
        <v>186</v>
      </c>
      <c r="F259" s="437" t="s">
        <v>187</v>
      </c>
      <c r="G259" s="447"/>
      <c r="H259" s="451"/>
      <c r="I259" s="447" t="s">
        <v>33</v>
      </c>
      <c r="J259" s="441" t="s">
        <v>60</v>
      </c>
      <c r="L259" s="437" t="s">
        <v>172</v>
      </c>
      <c r="M259" s="459"/>
    </row>
    <row r="260" spans="2:13">
      <c r="B260" s="438" t="s">
        <v>105</v>
      </c>
      <c r="C260" s="442" t="s">
        <v>3</v>
      </c>
      <c r="E260" s="438" t="s">
        <v>86</v>
      </c>
      <c r="F260" s="438" t="s">
        <v>208</v>
      </c>
      <c r="G260" s="448" t="s">
        <v>110</v>
      </c>
      <c r="H260" s="452" t="s">
        <v>210</v>
      </c>
      <c r="I260" s="455" t="s">
        <v>53</v>
      </c>
      <c r="J260" s="442" t="s">
        <v>192</v>
      </c>
      <c r="L260" s="438" t="s">
        <v>193</v>
      </c>
      <c r="M260" s="442" t="s">
        <v>189</v>
      </c>
    </row>
    <row r="261" spans="2:13">
      <c r="B261" s="439"/>
      <c r="C261" s="443" t="s">
        <v>195</v>
      </c>
      <c r="D261" s="444"/>
      <c r="E261" s="439" t="s">
        <v>196</v>
      </c>
      <c r="F261" s="439"/>
      <c r="G261" s="449" t="s">
        <v>69</v>
      </c>
      <c r="H261" s="453" t="s">
        <v>211</v>
      </c>
      <c r="I261" s="454" t="s">
        <v>199</v>
      </c>
      <c r="J261" s="443"/>
      <c r="K261" s="457"/>
      <c r="L261" s="439" t="s">
        <v>200</v>
      </c>
      <c r="M261" s="443" t="s">
        <v>201</v>
      </c>
    </row>
    <row r="262" spans="2:13" ht="30.75" customHeight="1">
      <c r="B262" s="390" t="str">
        <f>VLOOKUP($J257,'17-1（所得細目表　記載例）'!$B$9:$M$29,3,0)</f>
        <v/>
      </c>
      <c r="C262" s="390" t="str">
        <f>VLOOKUP($J257,'17-1（所得細目表　記載例）'!$B$9:$M$29,4,0)</f>
        <v/>
      </c>
      <c r="D262" s="390"/>
      <c r="E262" s="390" t="str">
        <f>VLOOKUP($J257,'17-1（所得細目表　記載例）'!$B$9:$M$29,5,0)</f>
        <v/>
      </c>
      <c r="F262" s="390" t="str">
        <f>VLOOKUP($J257,'17-1（所得細目表　記載例）'!$B$9:$M$29,6,0)</f>
        <v/>
      </c>
      <c r="G262" s="390">
        <f>VLOOKUP($J257,'17-1（所得細目表　記載例）'!$B$9:$M$29,7,0)</f>
        <v>0</v>
      </c>
      <c r="H262" s="390">
        <f>VLOOKUP($J257,'17-1（所得細目表　記載例）'!$B$9:$M$29,8,0)</f>
        <v>0</v>
      </c>
      <c r="I262" s="390" t="str">
        <f>VLOOKUP($J257,'17-1（所得細目表　記載例）'!$B$9:$M$29,9,0)</f>
        <v/>
      </c>
      <c r="J262" s="390" t="str">
        <f>VLOOKUP($J257,'17-1（所得細目表　記載例）'!$B$9:$M$29,10,0)</f>
        <v/>
      </c>
      <c r="K262" s="390"/>
      <c r="L262" s="390" t="str">
        <f>VLOOKUP($J257,'17-1（所得細目表　記載例）'!$B$9:$M$29,11,0)</f>
        <v/>
      </c>
      <c r="M262" s="390" t="str">
        <f>VLOOKUP($J257,'17-1（所得細目表　記載例）'!$B$9:$M$29,12,0)</f>
        <v/>
      </c>
    </row>
    <row r="264" spans="2:13">
      <c r="C264" s="1" t="s">
        <v>213</v>
      </c>
    </row>
    <row r="266" spans="2:13">
      <c r="B266" s="440"/>
      <c r="C266" s="440"/>
      <c r="D266" s="440"/>
      <c r="E266" s="440"/>
      <c r="F266" s="440"/>
      <c r="G266" s="440"/>
      <c r="H266" s="440"/>
      <c r="I266" s="440"/>
      <c r="J266" s="440"/>
      <c r="K266" s="440"/>
      <c r="L266" s="440"/>
      <c r="M266" s="440"/>
    </row>
    <row r="268" spans="2:13" ht="14.25">
      <c r="E268" s="460" t="str">
        <f>$E$2</f>
        <v>中山間地域等直接支払交付金に係る所得計算表(令和８年)</v>
      </c>
      <c r="F268" s="460"/>
      <c r="G268" s="460"/>
      <c r="H268" s="460"/>
      <c r="I268" s="460"/>
      <c r="J268" s="460"/>
    </row>
    <row r="270" spans="2:13" ht="14.25">
      <c r="H270" s="209"/>
      <c r="I270" s="209"/>
      <c r="J270" s="209"/>
    </row>
    <row r="271" spans="2:13" ht="14.25">
      <c r="F271" s="209" t="s">
        <v>39</v>
      </c>
      <c r="G271" s="446" t="str">
        <f>IF($J271="","",'17-1（所得細目表　記載例）'!$J$2)</f>
        <v/>
      </c>
      <c r="H271" s="450" t="s">
        <v>204</v>
      </c>
      <c r="I271" s="450"/>
      <c r="J271" s="456" t="str">
        <f>IF('17-1（所得細目表　記載例）'!B28="","",'17-1（所得細目表　記載例）'!B28)</f>
        <v/>
      </c>
      <c r="L271" s="209">
        <f>VLOOKUP($J271,'17-1（所得細目表　記載例）'!$B$9:$M$29,2,0)</f>
        <v>0</v>
      </c>
      <c r="M271" s="458" t="s">
        <v>207</v>
      </c>
    </row>
    <row r="272" spans="2:13">
      <c r="D272" s="273"/>
      <c r="K272" s="273"/>
    </row>
    <row r="273" spans="2:13">
      <c r="B273" s="437" t="s">
        <v>140</v>
      </c>
      <c r="C273" s="441" t="s">
        <v>99</v>
      </c>
      <c r="E273" s="437" t="s">
        <v>186</v>
      </c>
      <c r="F273" s="437" t="s">
        <v>187</v>
      </c>
      <c r="G273" s="447"/>
      <c r="H273" s="451"/>
      <c r="I273" s="447" t="s">
        <v>33</v>
      </c>
      <c r="J273" s="441" t="s">
        <v>60</v>
      </c>
      <c r="L273" s="437" t="s">
        <v>172</v>
      </c>
      <c r="M273" s="459"/>
    </row>
    <row r="274" spans="2:13">
      <c r="B274" s="438" t="s">
        <v>105</v>
      </c>
      <c r="C274" s="442" t="s">
        <v>3</v>
      </c>
      <c r="E274" s="438" t="s">
        <v>86</v>
      </c>
      <c r="F274" s="438" t="s">
        <v>208</v>
      </c>
      <c r="G274" s="448" t="s">
        <v>110</v>
      </c>
      <c r="H274" s="452" t="s">
        <v>210</v>
      </c>
      <c r="I274" s="455" t="s">
        <v>53</v>
      </c>
      <c r="J274" s="442" t="s">
        <v>192</v>
      </c>
      <c r="L274" s="438" t="s">
        <v>193</v>
      </c>
      <c r="M274" s="442" t="s">
        <v>189</v>
      </c>
    </row>
    <row r="275" spans="2:13">
      <c r="B275" s="439"/>
      <c r="C275" s="443" t="s">
        <v>195</v>
      </c>
      <c r="D275" s="444"/>
      <c r="E275" s="439" t="s">
        <v>196</v>
      </c>
      <c r="F275" s="439"/>
      <c r="G275" s="449" t="s">
        <v>69</v>
      </c>
      <c r="H275" s="453" t="s">
        <v>211</v>
      </c>
      <c r="I275" s="454" t="s">
        <v>199</v>
      </c>
      <c r="J275" s="443"/>
      <c r="K275" s="457"/>
      <c r="L275" s="439" t="s">
        <v>200</v>
      </c>
      <c r="M275" s="443" t="s">
        <v>201</v>
      </c>
    </row>
    <row r="276" spans="2:13" ht="30.75" customHeight="1">
      <c r="B276" s="390" t="str">
        <f>VLOOKUP($J271,'17-1（所得細目表　記載例）'!$B$9:$M$29,3,0)</f>
        <v/>
      </c>
      <c r="C276" s="390" t="str">
        <f>VLOOKUP($J271,'17-1（所得細目表　記載例）'!$B$9:$M$29,4,0)</f>
        <v/>
      </c>
      <c r="D276" s="390"/>
      <c r="E276" s="390" t="str">
        <f>VLOOKUP($J271,'17-1（所得細目表　記載例）'!$B$9:$M$29,5,0)</f>
        <v/>
      </c>
      <c r="F276" s="390" t="str">
        <f>VLOOKUP($J271,'17-1（所得細目表　記載例）'!$B$9:$M$29,6,0)</f>
        <v/>
      </c>
      <c r="G276" s="390">
        <f>VLOOKUP($J271,'17-1（所得細目表　記載例）'!$B$9:$M$29,7,0)</f>
        <v>0</v>
      </c>
      <c r="H276" s="390">
        <f>VLOOKUP($J271,'17-1（所得細目表　記載例）'!$B$9:$M$29,8,0)</f>
        <v>0</v>
      </c>
      <c r="I276" s="390" t="str">
        <f>VLOOKUP($J271,'17-1（所得細目表　記載例）'!$B$9:$M$29,9,0)</f>
        <v/>
      </c>
      <c r="J276" s="390" t="str">
        <f>VLOOKUP($J271,'17-1（所得細目表　記載例）'!$B$9:$M$29,10,0)</f>
        <v/>
      </c>
      <c r="K276" s="390"/>
      <c r="L276" s="390" t="str">
        <f>VLOOKUP($J271,'17-1（所得細目表　記載例）'!$B$9:$M$29,11,0)</f>
        <v/>
      </c>
      <c r="M276" s="390" t="str">
        <f>VLOOKUP($J271,'17-1（所得細目表　記載例）'!$B$9:$M$29,12,0)</f>
        <v/>
      </c>
    </row>
    <row r="278" spans="2:13">
      <c r="C278" s="1" t="s">
        <v>213</v>
      </c>
    </row>
    <row r="280" spans="2:13">
      <c r="B280" s="440"/>
      <c r="C280" s="440"/>
      <c r="D280" s="440"/>
      <c r="E280" s="440"/>
      <c r="F280" s="440"/>
      <c r="G280" s="440"/>
      <c r="H280" s="440"/>
      <c r="I280" s="440"/>
      <c r="J280" s="440"/>
      <c r="K280" s="440"/>
      <c r="L280" s="440"/>
      <c r="M280" s="440"/>
    </row>
    <row r="282" spans="2:13" ht="14.25">
      <c r="E282" s="460" t="str">
        <f>$E$2</f>
        <v>中山間地域等直接支払交付金に係る所得計算表(令和８年)</v>
      </c>
      <c r="F282" s="460"/>
      <c r="G282" s="460"/>
      <c r="H282" s="460"/>
      <c r="I282" s="460"/>
      <c r="J282" s="460"/>
    </row>
    <row r="284" spans="2:13" ht="14.25">
      <c r="H284" s="209"/>
      <c r="I284" s="209"/>
      <c r="J284" s="209"/>
    </row>
    <row r="285" spans="2:13" ht="14.25">
      <c r="F285" s="209" t="s">
        <v>39</v>
      </c>
      <c r="G285" s="446" t="str">
        <f>IF($J285="","",'17-1（所得細目表　記載例）'!$J$2)</f>
        <v/>
      </c>
      <c r="H285" s="450" t="s">
        <v>204</v>
      </c>
      <c r="I285" s="450"/>
      <c r="J285" s="456" t="str">
        <f>IF('17-1（所得細目表　記載例）'!B29="","",'17-1（所得細目表　記載例）'!B29)</f>
        <v/>
      </c>
      <c r="L285" s="209">
        <f>VLOOKUP($J285,'17-1（所得細目表　記載例）'!$B$9:$M$29,2,0)</f>
        <v>0</v>
      </c>
      <c r="M285" s="458" t="s">
        <v>207</v>
      </c>
    </row>
    <row r="286" spans="2:13">
      <c r="D286" s="273"/>
      <c r="K286" s="273"/>
    </row>
    <row r="287" spans="2:13">
      <c r="B287" s="437" t="s">
        <v>140</v>
      </c>
      <c r="C287" s="441" t="s">
        <v>99</v>
      </c>
      <c r="E287" s="437" t="s">
        <v>186</v>
      </c>
      <c r="F287" s="437" t="s">
        <v>187</v>
      </c>
      <c r="G287" s="447"/>
      <c r="H287" s="451"/>
      <c r="I287" s="447" t="s">
        <v>33</v>
      </c>
      <c r="J287" s="441" t="s">
        <v>60</v>
      </c>
      <c r="L287" s="437" t="s">
        <v>172</v>
      </c>
      <c r="M287" s="459"/>
    </row>
    <row r="288" spans="2:13">
      <c r="B288" s="438" t="s">
        <v>105</v>
      </c>
      <c r="C288" s="442" t="s">
        <v>3</v>
      </c>
      <c r="E288" s="438" t="s">
        <v>86</v>
      </c>
      <c r="F288" s="438" t="s">
        <v>208</v>
      </c>
      <c r="G288" s="448" t="s">
        <v>110</v>
      </c>
      <c r="H288" s="452" t="s">
        <v>210</v>
      </c>
      <c r="I288" s="455" t="s">
        <v>53</v>
      </c>
      <c r="J288" s="442" t="s">
        <v>192</v>
      </c>
      <c r="L288" s="438" t="s">
        <v>193</v>
      </c>
      <c r="M288" s="442" t="s">
        <v>189</v>
      </c>
    </row>
    <row r="289" spans="2:13">
      <c r="B289" s="439"/>
      <c r="C289" s="443" t="s">
        <v>195</v>
      </c>
      <c r="D289" s="444"/>
      <c r="E289" s="439" t="s">
        <v>196</v>
      </c>
      <c r="F289" s="439"/>
      <c r="G289" s="449" t="s">
        <v>69</v>
      </c>
      <c r="H289" s="453" t="s">
        <v>211</v>
      </c>
      <c r="I289" s="454" t="s">
        <v>199</v>
      </c>
      <c r="J289" s="443"/>
      <c r="K289" s="457"/>
      <c r="L289" s="439" t="s">
        <v>200</v>
      </c>
      <c r="M289" s="443" t="s">
        <v>201</v>
      </c>
    </row>
    <row r="290" spans="2:13" ht="30.75" customHeight="1">
      <c r="B290" s="390" t="str">
        <f>VLOOKUP($J285,'17-1（所得細目表　記載例）'!$B$9:$M$29,3,0)</f>
        <v/>
      </c>
      <c r="C290" s="390" t="str">
        <f>VLOOKUP($J285,'17-1（所得細目表　記載例）'!$B$9:$M$29,4,0)</f>
        <v/>
      </c>
      <c r="D290" s="390"/>
      <c r="E290" s="390" t="str">
        <f>VLOOKUP($J285,'17-1（所得細目表　記載例）'!$B$9:$M$29,5,0)</f>
        <v/>
      </c>
      <c r="F290" s="390" t="str">
        <f>VLOOKUP($J285,'17-1（所得細目表　記載例）'!$B$9:$M$29,6,0)</f>
        <v/>
      </c>
      <c r="G290" s="390">
        <f>VLOOKUP($J285,'17-1（所得細目表　記載例）'!$B$9:$M$29,7,0)</f>
        <v>0</v>
      </c>
      <c r="H290" s="390">
        <f>VLOOKUP($J285,'17-1（所得細目表　記載例）'!$B$9:$M$29,8,0)</f>
        <v>0</v>
      </c>
      <c r="I290" s="390" t="str">
        <f>VLOOKUP($J285,'17-1（所得細目表　記載例）'!$B$9:$M$29,9,0)</f>
        <v/>
      </c>
      <c r="J290" s="390" t="str">
        <f>VLOOKUP($J285,'17-1（所得細目表　記載例）'!$B$9:$M$29,10,0)</f>
        <v/>
      </c>
      <c r="K290" s="390"/>
      <c r="L290" s="390" t="str">
        <f>VLOOKUP($J285,'17-1（所得細目表　記載例）'!$B$9:$M$29,11,0)</f>
        <v/>
      </c>
      <c r="M290" s="390" t="str">
        <f>VLOOKUP($J285,'17-1（所得細目表　記載例）'!$B$9:$M$29,12,0)</f>
        <v/>
      </c>
    </row>
    <row r="292" spans="2:13">
      <c r="C292" s="1" t="s">
        <v>213</v>
      </c>
    </row>
    <row r="294" spans="2:13">
      <c r="B294" s="440"/>
      <c r="C294" s="440"/>
      <c r="D294" s="440"/>
      <c r="E294" s="440"/>
      <c r="F294" s="440"/>
      <c r="G294" s="440"/>
      <c r="H294" s="440"/>
      <c r="I294" s="440"/>
      <c r="J294" s="440"/>
      <c r="K294" s="440"/>
      <c r="L294" s="440"/>
      <c r="M294" s="440"/>
    </row>
    <row r="296" spans="2:13" ht="14.25">
      <c r="E296" s="460" t="str">
        <f>$E$2</f>
        <v>中山間地域等直接支払交付金に係る所得計算表(令和８年)</v>
      </c>
      <c r="F296" s="460"/>
      <c r="G296" s="460"/>
      <c r="H296" s="460"/>
      <c r="I296" s="460"/>
      <c r="J296" s="460"/>
    </row>
    <row r="298" spans="2:13" ht="14.25">
      <c r="H298" s="209"/>
      <c r="I298" s="209"/>
      <c r="J298" s="209"/>
    </row>
    <row r="299" spans="2:13" ht="14.25">
      <c r="F299" s="209" t="s">
        <v>39</v>
      </c>
      <c r="G299" s="446" t="e">
        <f>IF($J299="","",'17-1（所得細目表　記載例）'!$J$2)</f>
        <v>#REF!</v>
      </c>
      <c r="H299" s="450" t="s">
        <v>204</v>
      </c>
      <c r="I299" s="450"/>
      <c r="J299" s="456" t="e">
        <f>IF(#REF!="","",#REF!)</f>
        <v>#REF!</v>
      </c>
      <c r="L299" s="209" t="e">
        <f>VLOOKUP($J299,'17-1（所得細目表　記載例）'!$B$9:$M$29,2,0)</f>
        <v>#REF!</v>
      </c>
      <c r="M299" s="458" t="s">
        <v>207</v>
      </c>
    </row>
    <row r="300" spans="2:13">
      <c r="D300" s="273"/>
      <c r="K300" s="273"/>
    </row>
    <row r="301" spans="2:13">
      <c r="B301" s="437" t="s">
        <v>140</v>
      </c>
      <c r="C301" s="441" t="s">
        <v>99</v>
      </c>
      <c r="E301" s="437" t="s">
        <v>186</v>
      </c>
      <c r="F301" s="437" t="s">
        <v>187</v>
      </c>
      <c r="G301" s="447"/>
      <c r="H301" s="451"/>
      <c r="I301" s="447" t="s">
        <v>33</v>
      </c>
      <c r="J301" s="441" t="s">
        <v>60</v>
      </c>
      <c r="L301" s="437" t="s">
        <v>172</v>
      </c>
      <c r="M301" s="459"/>
    </row>
    <row r="302" spans="2:13">
      <c r="B302" s="438" t="s">
        <v>105</v>
      </c>
      <c r="C302" s="442" t="s">
        <v>3</v>
      </c>
      <c r="E302" s="438" t="s">
        <v>86</v>
      </c>
      <c r="F302" s="438" t="s">
        <v>208</v>
      </c>
      <c r="G302" s="448" t="s">
        <v>110</v>
      </c>
      <c r="H302" s="452" t="s">
        <v>210</v>
      </c>
      <c r="I302" s="455" t="s">
        <v>53</v>
      </c>
      <c r="J302" s="442" t="s">
        <v>192</v>
      </c>
      <c r="L302" s="438" t="s">
        <v>193</v>
      </c>
      <c r="M302" s="442" t="s">
        <v>189</v>
      </c>
    </row>
    <row r="303" spans="2:13">
      <c r="B303" s="439"/>
      <c r="C303" s="443" t="s">
        <v>195</v>
      </c>
      <c r="D303" s="444"/>
      <c r="E303" s="439" t="s">
        <v>196</v>
      </c>
      <c r="F303" s="439"/>
      <c r="G303" s="449" t="s">
        <v>69</v>
      </c>
      <c r="H303" s="453" t="s">
        <v>211</v>
      </c>
      <c r="I303" s="454" t="s">
        <v>199</v>
      </c>
      <c r="J303" s="443"/>
      <c r="K303" s="457"/>
      <c r="L303" s="439" t="s">
        <v>200</v>
      </c>
      <c r="M303" s="443" t="s">
        <v>201</v>
      </c>
    </row>
    <row r="304" spans="2:13" ht="30.75" customHeight="1">
      <c r="B304" s="390" t="e">
        <f>VLOOKUP($J299,'17-1（所得細目表　記載例）'!$B$9:$M$29,3,0)</f>
        <v>#REF!</v>
      </c>
      <c r="C304" s="390" t="e">
        <f>VLOOKUP($J299,'17-1（所得細目表　記載例）'!$B$9:$M$29,4,0)</f>
        <v>#REF!</v>
      </c>
      <c r="D304" s="390"/>
      <c r="E304" s="390" t="e">
        <f>VLOOKUP($J299,'17-1（所得細目表　記載例）'!$B$9:$M$29,5,0)</f>
        <v>#REF!</v>
      </c>
      <c r="F304" s="390" t="e">
        <f>VLOOKUP($J299,'17-1（所得細目表　記載例）'!$B$9:$M$29,6,0)</f>
        <v>#REF!</v>
      </c>
      <c r="G304" s="390" t="e">
        <f>VLOOKUP($J299,'17-1（所得細目表　記載例）'!$B$9:$M$29,7,0)</f>
        <v>#REF!</v>
      </c>
      <c r="H304" s="390" t="e">
        <f>VLOOKUP($J299,'17-1（所得細目表　記載例）'!$B$9:$M$29,8,0)</f>
        <v>#REF!</v>
      </c>
      <c r="I304" s="390" t="e">
        <f>VLOOKUP($J299,'17-1（所得細目表　記載例）'!$B$9:$M$29,9,0)</f>
        <v>#REF!</v>
      </c>
      <c r="J304" s="390" t="e">
        <f>VLOOKUP($J299,'17-1（所得細目表　記載例）'!$B$9:$M$29,10,0)</f>
        <v>#REF!</v>
      </c>
      <c r="K304" s="390"/>
      <c r="L304" s="390" t="e">
        <f>VLOOKUP($J299,'17-1（所得細目表　記載例）'!$B$9:$M$29,11,0)</f>
        <v>#REF!</v>
      </c>
      <c r="M304" s="390" t="e">
        <f>VLOOKUP($J299,'17-1（所得細目表　記載例）'!$B$9:$M$29,12,0)</f>
        <v>#REF!</v>
      </c>
    </row>
    <row r="306" spans="2:13">
      <c r="C306" s="1" t="s">
        <v>213</v>
      </c>
    </row>
    <row r="308" spans="2:13">
      <c r="B308" s="440"/>
      <c r="C308" s="440"/>
      <c r="D308" s="440"/>
      <c r="E308" s="440"/>
      <c r="F308" s="440"/>
      <c r="G308" s="440"/>
      <c r="H308" s="440"/>
      <c r="I308" s="440"/>
      <c r="J308" s="440"/>
      <c r="K308" s="440"/>
      <c r="L308" s="440"/>
      <c r="M308" s="440"/>
    </row>
    <row r="310" spans="2:13" ht="14.25">
      <c r="E310" s="460" t="str">
        <f>$E$2</f>
        <v>中山間地域等直接支払交付金に係る所得計算表(令和８年)</v>
      </c>
      <c r="F310" s="460"/>
      <c r="G310" s="460"/>
      <c r="H310" s="460"/>
      <c r="I310" s="460"/>
      <c r="J310" s="460"/>
    </row>
    <row r="312" spans="2:13" ht="14.25">
      <c r="H312" s="209"/>
      <c r="I312" s="209"/>
      <c r="J312" s="209"/>
    </row>
    <row r="313" spans="2:13" ht="14.25">
      <c r="F313" s="209" t="s">
        <v>39</v>
      </c>
      <c r="G313" s="446" t="e">
        <f>IF($J313="","",'17-1（所得細目表　記載例）'!$J$2)</f>
        <v>#REF!</v>
      </c>
      <c r="H313" s="450" t="s">
        <v>204</v>
      </c>
      <c r="I313" s="450"/>
      <c r="J313" s="456" t="e">
        <f>IF(#REF!="","",#REF!)</f>
        <v>#REF!</v>
      </c>
      <c r="L313" s="209" t="e">
        <f>VLOOKUP($J313,'17-1（所得細目表　記載例）'!$B$9:$M$29,2,0)</f>
        <v>#REF!</v>
      </c>
      <c r="M313" s="458" t="s">
        <v>207</v>
      </c>
    </row>
    <row r="314" spans="2:13">
      <c r="D314" s="273"/>
      <c r="K314" s="273"/>
    </row>
    <row r="315" spans="2:13">
      <c r="B315" s="437" t="s">
        <v>140</v>
      </c>
      <c r="C315" s="441" t="s">
        <v>99</v>
      </c>
      <c r="E315" s="437" t="s">
        <v>186</v>
      </c>
      <c r="F315" s="437" t="s">
        <v>187</v>
      </c>
      <c r="G315" s="447"/>
      <c r="H315" s="451"/>
      <c r="I315" s="447" t="s">
        <v>33</v>
      </c>
      <c r="J315" s="441" t="s">
        <v>60</v>
      </c>
      <c r="L315" s="437" t="s">
        <v>172</v>
      </c>
      <c r="M315" s="459"/>
    </row>
    <row r="316" spans="2:13">
      <c r="B316" s="438" t="s">
        <v>105</v>
      </c>
      <c r="C316" s="442" t="s">
        <v>3</v>
      </c>
      <c r="E316" s="438" t="s">
        <v>86</v>
      </c>
      <c r="F316" s="438" t="s">
        <v>208</v>
      </c>
      <c r="G316" s="448" t="s">
        <v>110</v>
      </c>
      <c r="H316" s="452" t="s">
        <v>210</v>
      </c>
      <c r="I316" s="455" t="s">
        <v>53</v>
      </c>
      <c r="J316" s="442" t="s">
        <v>192</v>
      </c>
      <c r="L316" s="438" t="s">
        <v>193</v>
      </c>
      <c r="M316" s="442" t="s">
        <v>189</v>
      </c>
    </row>
    <row r="317" spans="2:13">
      <c r="B317" s="439"/>
      <c r="C317" s="443" t="s">
        <v>195</v>
      </c>
      <c r="D317" s="444"/>
      <c r="E317" s="439" t="s">
        <v>196</v>
      </c>
      <c r="F317" s="439"/>
      <c r="G317" s="449" t="s">
        <v>69</v>
      </c>
      <c r="H317" s="453" t="s">
        <v>211</v>
      </c>
      <c r="I317" s="454" t="s">
        <v>199</v>
      </c>
      <c r="J317" s="443"/>
      <c r="K317" s="457"/>
      <c r="L317" s="439" t="s">
        <v>200</v>
      </c>
      <c r="M317" s="443" t="s">
        <v>201</v>
      </c>
    </row>
    <row r="318" spans="2:13" ht="30.75" customHeight="1">
      <c r="B318" s="390" t="e">
        <f>VLOOKUP($J313,'17-1（所得細目表　記載例）'!$B$9:$M$29,3,0)</f>
        <v>#REF!</v>
      </c>
      <c r="C318" s="390" t="e">
        <f>VLOOKUP($J313,'17-1（所得細目表　記載例）'!$B$9:$M$29,4,0)</f>
        <v>#REF!</v>
      </c>
      <c r="D318" s="390"/>
      <c r="E318" s="390" t="e">
        <f>VLOOKUP($J313,'17-1（所得細目表　記載例）'!$B$9:$M$29,5,0)</f>
        <v>#REF!</v>
      </c>
      <c r="F318" s="390" t="e">
        <f>VLOOKUP($J313,'17-1（所得細目表　記載例）'!$B$9:$M$29,6,0)</f>
        <v>#REF!</v>
      </c>
      <c r="G318" s="390" t="e">
        <f>VLOOKUP($J313,'17-1（所得細目表　記載例）'!$B$9:$M$29,7,0)</f>
        <v>#REF!</v>
      </c>
      <c r="H318" s="390" t="e">
        <f>VLOOKUP($J313,'17-1（所得細目表　記載例）'!$B$9:$M$29,8,0)</f>
        <v>#REF!</v>
      </c>
      <c r="I318" s="390" t="e">
        <f>VLOOKUP($J313,'17-1（所得細目表　記載例）'!$B$9:$M$29,9,0)</f>
        <v>#REF!</v>
      </c>
      <c r="J318" s="390" t="e">
        <f>VLOOKUP($J313,'17-1（所得細目表　記載例）'!$B$9:$M$29,10,0)</f>
        <v>#REF!</v>
      </c>
      <c r="K318" s="390"/>
      <c r="L318" s="390" t="e">
        <f>VLOOKUP($J313,'17-1（所得細目表　記載例）'!$B$9:$M$29,11,0)</f>
        <v>#REF!</v>
      </c>
      <c r="M318" s="390" t="e">
        <f>VLOOKUP($J313,'17-1（所得細目表　記載例）'!$B$9:$M$29,12,0)</f>
        <v>#REF!</v>
      </c>
    </row>
    <row r="320" spans="2:13">
      <c r="C320" s="1" t="s">
        <v>213</v>
      </c>
    </row>
    <row r="322" spans="2:13">
      <c r="B322" s="440"/>
      <c r="C322" s="440"/>
      <c r="D322" s="440"/>
      <c r="E322" s="440"/>
      <c r="F322" s="440"/>
      <c r="G322" s="440"/>
      <c r="H322" s="440"/>
      <c r="I322" s="440"/>
      <c r="J322" s="440"/>
      <c r="K322" s="440"/>
      <c r="L322" s="440"/>
      <c r="M322" s="440"/>
    </row>
    <row r="324" spans="2:13" ht="14.25">
      <c r="E324" s="460" t="str">
        <f>$E$2</f>
        <v>中山間地域等直接支払交付金に係る所得計算表(令和８年)</v>
      </c>
      <c r="F324" s="460"/>
      <c r="G324" s="460"/>
      <c r="H324" s="460"/>
      <c r="I324" s="460"/>
      <c r="J324" s="460"/>
    </row>
    <row r="326" spans="2:13" ht="14.25">
      <c r="H326" s="209"/>
      <c r="I326" s="209"/>
      <c r="J326" s="209"/>
    </row>
    <row r="327" spans="2:13" ht="14.25">
      <c r="F327" s="209" t="s">
        <v>39</v>
      </c>
      <c r="G327" s="446" t="e">
        <f>IF($J327="","",'17-1（所得細目表　記載例）'!$J$2)</f>
        <v>#REF!</v>
      </c>
      <c r="H327" s="450" t="s">
        <v>204</v>
      </c>
      <c r="I327" s="450"/>
      <c r="J327" s="456" t="e">
        <f>IF(#REF!="","",#REF!)</f>
        <v>#REF!</v>
      </c>
      <c r="L327" s="209" t="e">
        <f>VLOOKUP($J327,'17-1（所得細目表　記載例）'!$B$9:$M$29,2,0)</f>
        <v>#REF!</v>
      </c>
      <c r="M327" s="458" t="s">
        <v>207</v>
      </c>
    </row>
    <row r="328" spans="2:13">
      <c r="D328" s="273"/>
      <c r="K328" s="273"/>
    </row>
    <row r="329" spans="2:13">
      <c r="B329" s="437" t="s">
        <v>140</v>
      </c>
      <c r="C329" s="441" t="s">
        <v>99</v>
      </c>
      <c r="E329" s="437" t="s">
        <v>186</v>
      </c>
      <c r="F329" s="437" t="s">
        <v>187</v>
      </c>
      <c r="G329" s="447"/>
      <c r="H329" s="451"/>
      <c r="I329" s="447" t="s">
        <v>33</v>
      </c>
      <c r="J329" s="441" t="s">
        <v>60</v>
      </c>
      <c r="L329" s="437" t="s">
        <v>172</v>
      </c>
      <c r="M329" s="459"/>
    </row>
    <row r="330" spans="2:13">
      <c r="B330" s="438" t="s">
        <v>105</v>
      </c>
      <c r="C330" s="442" t="s">
        <v>3</v>
      </c>
      <c r="E330" s="438" t="s">
        <v>86</v>
      </c>
      <c r="F330" s="438" t="s">
        <v>208</v>
      </c>
      <c r="G330" s="448" t="s">
        <v>110</v>
      </c>
      <c r="H330" s="452" t="s">
        <v>210</v>
      </c>
      <c r="I330" s="455" t="s">
        <v>53</v>
      </c>
      <c r="J330" s="442" t="s">
        <v>192</v>
      </c>
      <c r="L330" s="438" t="s">
        <v>193</v>
      </c>
      <c r="M330" s="442" t="s">
        <v>189</v>
      </c>
    </row>
    <row r="331" spans="2:13">
      <c r="B331" s="439"/>
      <c r="C331" s="443" t="s">
        <v>195</v>
      </c>
      <c r="D331" s="444"/>
      <c r="E331" s="439" t="s">
        <v>196</v>
      </c>
      <c r="F331" s="439"/>
      <c r="G331" s="449" t="s">
        <v>69</v>
      </c>
      <c r="H331" s="453" t="s">
        <v>211</v>
      </c>
      <c r="I331" s="454" t="s">
        <v>199</v>
      </c>
      <c r="J331" s="443"/>
      <c r="K331" s="457"/>
      <c r="L331" s="439" t="s">
        <v>200</v>
      </c>
      <c r="M331" s="443" t="s">
        <v>201</v>
      </c>
    </row>
    <row r="332" spans="2:13" ht="30.75" customHeight="1">
      <c r="B332" s="390" t="e">
        <f>VLOOKUP($J327,'17-1（所得細目表　記載例）'!$B$9:$M$29,3,0)</f>
        <v>#REF!</v>
      </c>
      <c r="C332" s="390" t="e">
        <f>VLOOKUP($J327,'17-1（所得細目表　記載例）'!$B$9:$M$29,4,0)</f>
        <v>#REF!</v>
      </c>
      <c r="D332" s="390"/>
      <c r="E332" s="390" t="e">
        <f>VLOOKUP($J327,'17-1（所得細目表　記載例）'!$B$9:$M$29,5,0)</f>
        <v>#REF!</v>
      </c>
      <c r="F332" s="390" t="e">
        <f>VLOOKUP($J327,'17-1（所得細目表　記載例）'!$B$9:$M$29,6,0)</f>
        <v>#REF!</v>
      </c>
      <c r="G332" s="390" t="e">
        <f>VLOOKUP($J327,'17-1（所得細目表　記載例）'!$B$9:$M$29,7,0)</f>
        <v>#REF!</v>
      </c>
      <c r="H332" s="390" t="e">
        <f>VLOOKUP($J327,'17-1（所得細目表　記載例）'!$B$9:$M$29,8,0)</f>
        <v>#REF!</v>
      </c>
      <c r="I332" s="390" t="e">
        <f>VLOOKUP($J327,'17-1（所得細目表　記載例）'!$B$9:$M$29,9,0)</f>
        <v>#REF!</v>
      </c>
      <c r="J332" s="390" t="e">
        <f>VLOOKUP($J327,'17-1（所得細目表　記載例）'!$B$9:$M$29,10,0)</f>
        <v>#REF!</v>
      </c>
      <c r="K332" s="390"/>
      <c r="L332" s="390" t="e">
        <f>VLOOKUP($J327,'17-1（所得細目表　記載例）'!$B$9:$M$29,11,0)</f>
        <v>#REF!</v>
      </c>
      <c r="M332" s="390" t="e">
        <f>VLOOKUP($J327,'17-1（所得細目表　記載例）'!$B$9:$M$29,12,0)</f>
        <v>#REF!</v>
      </c>
    </row>
    <row r="334" spans="2:13">
      <c r="C334" s="1" t="s">
        <v>213</v>
      </c>
    </row>
    <row r="336" spans="2:13">
      <c r="B336" s="440"/>
      <c r="C336" s="440"/>
      <c r="D336" s="440"/>
      <c r="E336" s="440"/>
      <c r="F336" s="440"/>
      <c r="G336" s="440"/>
      <c r="H336" s="440"/>
      <c r="I336" s="440"/>
      <c r="J336" s="440"/>
      <c r="K336" s="440"/>
      <c r="L336" s="440"/>
      <c r="M336" s="440"/>
    </row>
    <row r="338" spans="2:13" ht="14.25">
      <c r="E338" s="460" t="str">
        <f>$E$2</f>
        <v>中山間地域等直接支払交付金に係る所得計算表(令和８年)</v>
      </c>
      <c r="F338" s="460"/>
      <c r="G338" s="460"/>
      <c r="H338" s="460"/>
      <c r="I338" s="460"/>
      <c r="J338" s="460"/>
    </row>
    <row r="340" spans="2:13" ht="14.25">
      <c r="H340" s="209"/>
      <c r="I340" s="209"/>
      <c r="J340" s="209"/>
    </row>
    <row r="341" spans="2:13" ht="14.25">
      <c r="F341" s="209" t="s">
        <v>39</v>
      </c>
      <c r="G341" s="446" t="e">
        <f>IF($J341="","",'17-1（所得細目表　記載例）'!$J$2)</f>
        <v>#REF!</v>
      </c>
      <c r="H341" s="450" t="s">
        <v>204</v>
      </c>
      <c r="I341" s="450"/>
      <c r="J341" s="456" t="e">
        <f>IF(#REF!="","",#REF!)</f>
        <v>#REF!</v>
      </c>
      <c r="L341" s="209" t="e">
        <f>VLOOKUP($J341,'17-1（所得細目表　記載例）'!$B$9:$M$29,2,0)</f>
        <v>#REF!</v>
      </c>
      <c r="M341" s="458" t="s">
        <v>207</v>
      </c>
    </row>
    <row r="342" spans="2:13">
      <c r="D342" s="273"/>
      <c r="K342" s="273"/>
    </row>
    <row r="343" spans="2:13">
      <c r="B343" s="437" t="s">
        <v>140</v>
      </c>
      <c r="C343" s="441" t="s">
        <v>99</v>
      </c>
      <c r="E343" s="437" t="s">
        <v>186</v>
      </c>
      <c r="F343" s="437" t="s">
        <v>187</v>
      </c>
      <c r="G343" s="447"/>
      <c r="H343" s="451"/>
      <c r="I343" s="447" t="s">
        <v>33</v>
      </c>
      <c r="J343" s="441" t="s">
        <v>60</v>
      </c>
      <c r="L343" s="437" t="s">
        <v>172</v>
      </c>
      <c r="M343" s="459"/>
    </row>
    <row r="344" spans="2:13">
      <c r="B344" s="438" t="s">
        <v>105</v>
      </c>
      <c r="C344" s="442" t="s">
        <v>3</v>
      </c>
      <c r="E344" s="438" t="s">
        <v>86</v>
      </c>
      <c r="F344" s="438" t="s">
        <v>208</v>
      </c>
      <c r="G344" s="448" t="s">
        <v>110</v>
      </c>
      <c r="H344" s="452" t="s">
        <v>210</v>
      </c>
      <c r="I344" s="455" t="s">
        <v>53</v>
      </c>
      <c r="J344" s="442" t="s">
        <v>192</v>
      </c>
      <c r="L344" s="438" t="s">
        <v>193</v>
      </c>
      <c r="M344" s="442" t="s">
        <v>189</v>
      </c>
    </row>
    <row r="345" spans="2:13">
      <c r="B345" s="439"/>
      <c r="C345" s="443" t="s">
        <v>195</v>
      </c>
      <c r="D345" s="444"/>
      <c r="E345" s="439" t="s">
        <v>196</v>
      </c>
      <c r="F345" s="439"/>
      <c r="G345" s="449" t="s">
        <v>69</v>
      </c>
      <c r="H345" s="453" t="s">
        <v>211</v>
      </c>
      <c r="I345" s="454" t="s">
        <v>199</v>
      </c>
      <c r="J345" s="443"/>
      <c r="K345" s="457"/>
      <c r="L345" s="439" t="s">
        <v>200</v>
      </c>
      <c r="M345" s="443" t="s">
        <v>201</v>
      </c>
    </row>
    <row r="346" spans="2:13" ht="30.75" customHeight="1">
      <c r="B346" s="390" t="e">
        <f>VLOOKUP($J341,'17-1（所得細目表　記載例）'!$B$9:$M$29,3,0)</f>
        <v>#REF!</v>
      </c>
      <c r="C346" s="390" t="e">
        <f>VLOOKUP($J341,'17-1（所得細目表　記載例）'!$B$9:$M$29,4,0)</f>
        <v>#REF!</v>
      </c>
      <c r="D346" s="390"/>
      <c r="E346" s="390" t="e">
        <f>VLOOKUP($J341,'17-1（所得細目表　記載例）'!$B$9:$M$29,5,0)</f>
        <v>#REF!</v>
      </c>
      <c r="F346" s="390" t="e">
        <f>VLOOKUP($J341,'17-1（所得細目表　記載例）'!$B$9:$M$29,6,0)</f>
        <v>#REF!</v>
      </c>
      <c r="G346" s="390" t="e">
        <f>VLOOKUP($J341,'17-1（所得細目表　記載例）'!$B$9:$M$29,7,0)</f>
        <v>#REF!</v>
      </c>
      <c r="H346" s="390" t="e">
        <f>VLOOKUP($J341,'17-1（所得細目表　記載例）'!$B$9:$M$29,8,0)</f>
        <v>#REF!</v>
      </c>
      <c r="I346" s="390" t="e">
        <f>VLOOKUP($J341,'17-1（所得細目表　記載例）'!$B$9:$M$29,9,0)</f>
        <v>#REF!</v>
      </c>
      <c r="J346" s="390" t="e">
        <f>VLOOKUP($J341,'17-1（所得細目表　記載例）'!$B$9:$M$29,10,0)</f>
        <v>#REF!</v>
      </c>
      <c r="K346" s="390"/>
      <c r="L346" s="390" t="e">
        <f>VLOOKUP($J341,'17-1（所得細目表　記載例）'!$B$9:$M$29,11,0)</f>
        <v>#REF!</v>
      </c>
      <c r="M346" s="390" t="e">
        <f>VLOOKUP($J341,'17-1（所得細目表　記載例）'!$B$9:$M$29,12,0)</f>
        <v>#REF!</v>
      </c>
    </row>
    <row r="348" spans="2:13">
      <c r="C348" s="1" t="s">
        <v>213</v>
      </c>
    </row>
    <row r="350" spans="2:13">
      <c r="B350" s="440"/>
      <c r="C350" s="440"/>
      <c r="D350" s="440"/>
      <c r="E350" s="440"/>
      <c r="F350" s="440"/>
      <c r="G350" s="440"/>
      <c r="H350" s="440"/>
      <c r="I350" s="440"/>
      <c r="J350" s="440"/>
      <c r="K350" s="440"/>
      <c r="L350" s="440"/>
      <c r="M350" s="440"/>
    </row>
    <row r="352" spans="2:13" ht="14.25">
      <c r="E352" s="460" t="str">
        <f>$E$2</f>
        <v>中山間地域等直接支払交付金に係る所得計算表(令和８年)</v>
      </c>
      <c r="F352" s="460"/>
      <c r="G352" s="460"/>
      <c r="H352" s="460"/>
      <c r="I352" s="460"/>
      <c r="J352" s="460"/>
    </row>
    <row r="354" spans="2:13" ht="14.25">
      <c r="H354" s="209"/>
      <c r="I354" s="209"/>
      <c r="J354" s="209"/>
    </row>
    <row r="355" spans="2:13" ht="14.25">
      <c r="F355" s="209" t="s">
        <v>39</v>
      </c>
      <c r="G355" s="446" t="e">
        <f>IF($J355="","",'17-1（所得細目表　記載例）'!$J$2)</f>
        <v>#REF!</v>
      </c>
      <c r="H355" s="450" t="s">
        <v>204</v>
      </c>
      <c r="I355" s="450"/>
      <c r="J355" s="456" t="e">
        <f>IF(#REF!="","",#REF!)</f>
        <v>#REF!</v>
      </c>
      <c r="L355" s="209" t="e">
        <f>VLOOKUP($J355,'17-1（所得細目表　記載例）'!$B$9:$M$29,2,0)</f>
        <v>#REF!</v>
      </c>
      <c r="M355" s="458" t="s">
        <v>207</v>
      </c>
    </row>
    <row r="356" spans="2:13">
      <c r="D356" s="273"/>
      <c r="K356" s="273"/>
    </row>
    <row r="357" spans="2:13">
      <c r="B357" s="437" t="s">
        <v>140</v>
      </c>
      <c r="C357" s="441" t="s">
        <v>99</v>
      </c>
      <c r="E357" s="437" t="s">
        <v>186</v>
      </c>
      <c r="F357" s="437" t="s">
        <v>187</v>
      </c>
      <c r="G357" s="447"/>
      <c r="H357" s="451"/>
      <c r="I357" s="447" t="s">
        <v>33</v>
      </c>
      <c r="J357" s="441" t="s">
        <v>60</v>
      </c>
      <c r="L357" s="437" t="s">
        <v>172</v>
      </c>
      <c r="M357" s="459"/>
    </row>
    <row r="358" spans="2:13">
      <c r="B358" s="438" t="s">
        <v>105</v>
      </c>
      <c r="C358" s="442" t="s">
        <v>3</v>
      </c>
      <c r="E358" s="438" t="s">
        <v>86</v>
      </c>
      <c r="F358" s="438" t="s">
        <v>208</v>
      </c>
      <c r="G358" s="448" t="s">
        <v>110</v>
      </c>
      <c r="H358" s="452" t="s">
        <v>210</v>
      </c>
      <c r="I358" s="455" t="s">
        <v>53</v>
      </c>
      <c r="J358" s="442" t="s">
        <v>192</v>
      </c>
      <c r="L358" s="438" t="s">
        <v>193</v>
      </c>
      <c r="M358" s="442" t="s">
        <v>189</v>
      </c>
    </row>
    <row r="359" spans="2:13">
      <c r="B359" s="439"/>
      <c r="C359" s="443" t="s">
        <v>195</v>
      </c>
      <c r="D359" s="444"/>
      <c r="E359" s="439" t="s">
        <v>196</v>
      </c>
      <c r="F359" s="439"/>
      <c r="G359" s="449" t="s">
        <v>69</v>
      </c>
      <c r="H359" s="453" t="s">
        <v>211</v>
      </c>
      <c r="I359" s="454" t="s">
        <v>199</v>
      </c>
      <c r="J359" s="443"/>
      <c r="K359" s="457"/>
      <c r="L359" s="439" t="s">
        <v>200</v>
      </c>
      <c r="M359" s="443" t="s">
        <v>201</v>
      </c>
    </row>
    <row r="360" spans="2:13" ht="30.75" customHeight="1">
      <c r="B360" s="390" t="e">
        <f>VLOOKUP($J355,'17-1（所得細目表　記載例）'!$B$9:$M$29,3,0)</f>
        <v>#REF!</v>
      </c>
      <c r="C360" s="390" t="e">
        <f>VLOOKUP($J355,'17-1（所得細目表　記載例）'!$B$9:$M$29,4,0)</f>
        <v>#REF!</v>
      </c>
      <c r="D360" s="390"/>
      <c r="E360" s="390" t="e">
        <f>VLOOKUP($J355,'17-1（所得細目表　記載例）'!$B$9:$M$29,5,0)</f>
        <v>#REF!</v>
      </c>
      <c r="F360" s="390" t="e">
        <f>VLOOKUP($J355,'17-1（所得細目表　記載例）'!$B$9:$M$29,6,0)</f>
        <v>#REF!</v>
      </c>
      <c r="G360" s="390" t="e">
        <f>VLOOKUP($J355,'17-1（所得細目表　記載例）'!$B$9:$M$29,7,0)</f>
        <v>#REF!</v>
      </c>
      <c r="H360" s="390" t="e">
        <f>VLOOKUP($J355,'17-1（所得細目表　記載例）'!$B$9:$M$29,8,0)</f>
        <v>#REF!</v>
      </c>
      <c r="I360" s="390" t="e">
        <f>VLOOKUP($J355,'17-1（所得細目表　記載例）'!$B$9:$M$29,9,0)</f>
        <v>#REF!</v>
      </c>
      <c r="J360" s="390" t="e">
        <f>VLOOKUP($J355,'17-1（所得細目表　記載例）'!$B$9:$M$29,10,0)</f>
        <v>#REF!</v>
      </c>
      <c r="K360" s="390"/>
      <c r="L360" s="390" t="e">
        <f>VLOOKUP($J355,'17-1（所得細目表　記載例）'!$B$9:$M$29,11,0)</f>
        <v>#REF!</v>
      </c>
      <c r="M360" s="390" t="e">
        <f>VLOOKUP($J355,'17-1（所得細目表　記載例）'!$B$9:$M$29,12,0)</f>
        <v>#REF!</v>
      </c>
    </row>
    <row r="362" spans="2:13">
      <c r="C362" s="1" t="s">
        <v>213</v>
      </c>
    </row>
    <row r="364" spans="2:13">
      <c r="B364" s="440"/>
      <c r="C364" s="440"/>
      <c r="D364" s="440"/>
      <c r="E364" s="440"/>
      <c r="F364" s="440"/>
      <c r="G364" s="440"/>
      <c r="H364" s="440"/>
      <c r="I364" s="440"/>
      <c r="J364" s="440"/>
      <c r="K364" s="440"/>
      <c r="L364" s="440"/>
      <c r="M364" s="440"/>
    </row>
    <row r="366" spans="2:13" ht="14.25">
      <c r="E366" s="460" t="str">
        <f>$E$2</f>
        <v>中山間地域等直接支払交付金に係る所得計算表(令和８年)</v>
      </c>
      <c r="F366" s="460"/>
      <c r="G366" s="460"/>
      <c r="H366" s="460"/>
      <c r="I366" s="460"/>
      <c r="J366" s="460"/>
    </row>
    <row r="368" spans="2:13" ht="14.25">
      <c r="H368" s="209"/>
      <c r="I368" s="209"/>
      <c r="J368" s="209"/>
    </row>
    <row r="369" spans="2:13" ht="14.25">
      <c r="F369" s="209" t="s">
        <v>39</v>
      </c>
      <c r="G369" s="446" t="e">
        <f>IF($J369="","",'17-1（所得細目表　記載例）'!$J$2)</f>
        <v>#REF!</v>
      </c>
      <c r="H369" s="450" t="s">
        <v>204</v>
      </c>
      <c r="I369" s="450"/>
      <c r="J369" s="456" t="e">
        <f>IF(#REF!="","",#REF!)</f>
        <v>#REF!</v>
      </c>
      <c r="L369" s="209" t="e">
        <f>VLOOKUP($J369,'17-1（所得細目表　記載例）'!$B$9:$M$29,2,0)</f>
        <v>#REF!</v>
      </c>
      <c r="M369" s="458" t="s">
        <v>207</v>
      </c>
    </row>
    <row r="370" spans="2:13">
      <c r="D370" s="273"/>
      <c r="K370" s="273"/>
    </row>
    <row r="371" spans="2:13">
      <c r="B371" s="437" t="s">
        <v>140</v>
      </c>
      <c r="C371" s="441" t="s">
        <v>99</v>
      </c>
      <c r="E371" s="437" t="s">
        <v>186</v>
      </c>
      <c r="F371" s="437" t="s">
        <v>187</v>
      </c>
      <c r="G371" s="447"/>
      <c r="H371" s="451"/>
      <c r="I371" s="447" t="s">
        <v>33</v>
      </c>
      <c r="J371" s="441" t="s">
        <v>60</v>
      </c>
      <c r="L371" s="437" t="s">
        <v>172</v>
      </c>
      <c r="M371" s="459"/>
    </row>
    <row r="372" spans="2:13">
      <c r="B372" s="438" t="s">
        <v>105</v>
      </c>
      <c r="C372" s="442" t="s">
        <v>3</v>
      </c>
      <c r="E372" s="438" t="s">
        <v>86</v>
      </c>
      <c r="F372" s="438" t="s">
        <v>208</v>
      </c>
      <c r="G372" s="448" t="s">
        <v>110</v>
      </c>
      <c r="H372" s="452" t="s">
        <v>210</v>
      </c>
      <c r="I372" s="455" t="s">
        <v>53</v>
      </c>
      <c r="J372" s="442" t="s">
        <v>192</v>
      </c>
      <c r="L372" s="438" t="s">
        <v>193</v>
      </c>
      <c r="M372" s="442" t="s">
        <v>189</v>
      </c>
    </row>
    <row r="373" spans="2:13">
      <c r="B373" s="439"/>
      <c r="C373" s="443" t="s">
        <v>195</v>
      </c>
      <c r="D373" s="444"/>
      <c r="E373" s="439" t="s">
        <v>196</v>
      </c>
      <c r="F373" s="439"/>
      <c r="G373" s="449" t="s">
        <v>69</v>
      </c>
      <c r="H373" s="453" t="s">
        <v>211</v>
      </c>
      <c r="I373" s="454" t="s">
        <v>199</v>
      </c>
      <c r="J373" s="443"/>
      <c r="K373" s="457"/>
      <c r="L373" s="439" t="s">
        <v>200</v>
      </c>
      <c r="M373" s="443" t="s">
        <v>201</v>
      </c>
    </row>
    <row r="374" spans="2:13" ht="30.75" customHeight="1">
      <c r="B374" s="390" t="e">
        <f>VLOOKUP($J369,'17-1（所得細目表　記載例）'!$B$9:$M$29,3,0)</f>
        <v>#REF!</v>
      </c>
      <c r="C374" s="390" t="e">
        <f>VLOOKUP($J369,'17-1（所得細目表　記載例）'!$B$9:$M$29,4,0)</f>
        <v>#REF!</v>
      </c>
      <c r="D374" s="390"/>
      <c r="E374" s="390" t="e">
        <f>VLOOKUP($J369,'17-1（所得細目表　記載例）'!$B$9:$M$29,5,0)</f>
        <v>#REF!</v>
      </c>
      <c r="F374" s="390" t="e">
        <f>VLOOKUP($J369,'17-1（所得細目表　記載例）'!$B$9:$M$29,6,0)</f>
        <v>#REF!</v>
      </c>
      <c r="G374" s="390" t="e">
        <f>VLOOKUP($J369,'17-1（所得細目表　記載例）'!$B$9:$M$29,7,0)</f>
        <v>#REF!</v>
      </c>
      <c r="H374" s="390" t="e">
        <f>VLOOKUP($J369,'17-1（所得細目表　記載例）'!$B$9:$M$29,8,0)</f>
        <v>#REF!</v>
      </c>
      <c r="I374" s="390" t="e">
        <f>VLOOKUP($J369,'17-1（所得細目表　記載例）'!$B$9:$M$29,9,0)</f>
        <v>#REF!</v>
      </c>
      <c r="J374" s="390" t="e">
        <f>VLOOKUP($J369,'17-1（所得細目表　記載例）'!$B$9:$M$29,10,0)</f>
        <v>#REF!</v>
      </c>
      <c r="K374" s="390"/>
      <c r="L374" s="390" t="e">
        <f>VLOOKUP($J369,'17-1（所得細目表　記載例）'!$B$9:$M$29,11,0)</f>
        <v>#REF!</v>
      </c>
      <c r="M374" s="390" t="e">
        <f>VLOOKUP($J369,'17-1（所得細目表　記載例）'!$B$9:$M$29,12,0)</f>
        <v>#REF!</v>
      </c>
    </row>
    <row r="376" spans="2:13">
      <c r="C376" s="1" t="s">
        <v>213</v>
      </c>
    </row>
    <row r="378" spans="2:13">
      <c r="B378" s="440"/>
      <c r="C378" s="440"/>
      <c r="D378" s="440"/>
      <c r="E378" s="440"/>
      <c r="F378" s="440"/>
      <c r="G378" s="440"/>
      <c r="H378" s="440"/>
      <c r="I378" s="440"/>
      <c r="J378" s="440"/>
      <c r="K378" s="440"/>
      <c r="L378" s="440"/>
      <c r="M378" s="440"/>
    </row>
    <row r="380" spans="2:13" ht="14.25">
      <c r="E380" s="460" t="str">
        <f>$E$2</f>
        <v>中山間地域等直接支払交付金に係る所得計算表(令和８年)</v>
      </c>
      <c r="F380" s="460"/>
      <c r="G380" s="460"/>
      <c r="H380" s="460"/>
      <c r="I380" s="460"/>
      <c r="J380" s="460"/>
    </row>
    <row r="382" spans="2:13" ht="14.25">
      <c r="H382" s="209"/>
      <c r="I382" s="209"/>
      <c r="J382" s="209"/>
    </row>
    <row r="383" spans="2:13" ht="14.25">
      <c r="F383" s="209" t="s">
        <v>39</v>
      </c>
      <c r="G383" s="446" t="e">
        <f>IF($J383="","",'17-1（所得細目表　記載例）'!$J$2)</f>
        <v>#REF!</v>
      </c>
      <c r="H383" s="450" t="s">
        <v>204</v>
      </c>
      <c r="I383" s="450"/>
      <c r="J383" s="456" t="e">
        <f>IF(#REF!="","",#REF!)</f>
        <v>#REF!</v>
      </c>
      <c r="L383" s="209" t="e">
        <f>VLOOKUP($J383,'17-1（所得細目表　記載例）'!$B$9:$M$29,2,0)</f>
        <v>#REF!</v>
      </c>
      <c r="M383" s="458" t="s">
        <v>207</v>
      </c>
    </row>
    <row r="384" spans="2:13">
      <c r="D384" s="273"/>
      <c r="K384" s="273"/>
    </row>
    <row r="385" spans="2:13">
      <c r="B385" s="437" t="s">
        <v>140</v>
      </c>
      <c r="C385" s="441" t="s">
        <v>99</v>
      </c>
      <c r="E385" s="437" t="s">
        <v>186</v>
      </c>
      <c r="F385" s="437" t="s">
        <v>187</v>
      </c>
      <c r="G385" s="447"/>
      <c r="H385" s="451"/>
      <c r="I385" s="447" t="s">
        <v>33</v>
      </c>
      <c r="J385" s="441" t="s">
        <v>60</v>
      </c>
      <c r="L385" s="437" t="s">
        <v>172</v>
      </c>
      <c r="M385" s="459"/>
    </row>
    <row r="386" spans="2:13">
      <c r="B386" s="438" t="s">
        <v>105</v>
      </c>
      <c r="C386" s="442" t="s">
        <v>3</v>
      </c>
      <c r="E386" s="438" t="s">
        <v>86</v>
      </c>
      <c r="F386" s="438" t="s">
        <v>208</v>
      </c>
      <c r="G386" s="448" t="s">
        <v>110</v>
      </c>
      <c r="H386" s="452" t="s">
        <v>210</v>
      </c>
      <c r="I386" s="455" t="s">
        <v>53</v>
      </c>
      <c r="J386" s="442" t="s">
        <v>192</v>
      </c>
      <c r="L386" s="438" t="s">
        <v>193</v>
      </c>
      <c r="M386" s="442" t="s">
        <v>189</v>
      </c>
    </row>
    <row r="387" spans="2:13">
      <c r="B387" s="439"/>
      <c r="C387" s="443" t="s">
        <v>195</v>
      </c>
      <c r="D387" s="444"/>
      <c r="E387" s="439" t="s">
        <v>196</v>
      </c>
      <c r="F387" s="439"/>
      <c r="G387" s="449" t="s">
        <v>69</v>
      </c>
      <c r="H387" s="453" t="s">
        <v>211</v>
      </c>
      <c r="I387" s="454" t="s">
        <v>199</v>
      </c>
      <c r="J387" s="443"/>
      <c r="K387" s="457"/>
      <c r="L387" s="439" t="s">
        <v>200</v>
      </c>
      <c r="M387" s="443" t="s">
        <v>201</v>
      </c>
    </row>
    <row r="388" spans="2:13" ht="30.75" customHeight="1">
      <c r="B388" s="390" t="e">
        <f>VLOOKUP($J383,'17-1（所得細目表　記載例）'!$B$9:$M$29,3,0)</f>
        <v>#REF!</v>
      </c>
      <c r="C388" s="390" t="e">
        <f>VLOOKUP($J383,'17-1（所得細目表　記載例）'!$B$9:$M$29,4,0)</f>
        <v>#REF!</v>
      </c>
      <c r="D388" s="390"/>
      <c r="E388" s="390" t="e">
        <f>VLOOKUP($J383,'17-1（所得細目表　記載例）'!$B$9:$M$29,5,0)</f>
        <v>#REF!</v>
      </c>
      <c r="F388" s="390" t="e">
        <f>VLOOKUP($J383,'17-1（所得細目表　記載例）'!$B$9:$M$29,6,0)</f>
        <v>#REF!</v>
      </c>
      <c r="G388" s="390" t="e">
        <f>VLOOKUP($J383,'17-1（所得細目表　記載例）'!$B$9:$M$29,7,0)</f>
        <v>#REF!</v>
      </c>
      <c r="H388" s="390" t="e">
        <f>VLOOKUP($J383,'17-1（所得細目表　記載例）'!$B$9:$M$29,8,0)</f>
        <v>#REF!</v>
      </c>
      <c r="I388" s="390" t="e">
        <f>VLOOKUP($J383,'17-1（所得細目表　記載例）'!$B$9:$M$29,9,0)</f>
        <v>#REF!</v>
      </c>
      <c r="J388" s="390" t="e">
        <f>VLOOKUP($J383,'17-1（所得細目表　記載例）'!$B$9:$M$29,10,0)</f>
        <v>#REF!</v>
      </c>
      <c r="K388" s="390"/>
      <c r="L388" s="390" t="e">
        <f>VLOOKUP($J383,'17-1（所得細目表　記載例）'!$B$9:$M$29,11,0)</f>
        <v>#REF!</v>
      </c>
      <c r="M388" s="390" t="e">
        <f>VLOOKUP($J383,'17-1（所得細目表　記載例）'!$B$9:$M$29,12,0)</f>
        <v>#REF!</v>
      </c>
    </row>
    <row r="390" spans="2:13">
      <c r="C390" s="1" t="s">
        <v>213</v>
      </c>
    </row>
    <row r="392" spans="2:13">
      <c r="B392" s="440"/>
      <c r="C392" s="440"/>
      <c r="D392" s="440"/>
      <c r="E392" s="440"/>
      <c r="F392" s="440"/>
      <c r="G392" s="440"/>
      <c r="H392" s="440"/>
      <c r="I392" s="440"/>
      <c r="J392" s="440"/>
      <c r="K392" s="440"/>
      <c r="L392" s="440"/>
      <c r="M392" s="440"/>
    </row>
    <row r="394" spans="2:13" ht="14.25">
      <c r="E394" s="460" t="str">
        <f>$E$2</f>
        <v>中山間地域等直接支払交付金に係る所得計算表(令和８年)</v>
      </c>
      <c r="F394" s="460"/>
      <c r="G394" s="460"/>
      <c r="H394" s="460"/>
      <c r="I394" s="460"/>
      <c r="J394" s="460"/>
    </row>
    <row r="396" spans="2:13" ht="14.25">
      <c r="H396" s="209"/>
      <c r="I396" s="209"/>
      <c r="J396" s="209"/>
    </row>
    <row r="397" spans="2:13" ht="14.25">
      <c r="F397" s="209" t="s">
        <v>39</v>
      </c>
      <c r="G397" s="446" t="e">
        <f>IF($J397="","",'17-1（所得細目表　記載例）'!$J$2)</f>
        <v>#REF!</v>
      </c>
      <c r="H397" s="450" t="s">
        <v>204</v>
      </c>
      <c r="I397" s="450"/>
      <c r="J397" s="456" t="e">
        <f>IF(#REF!="","",#REF!)</f>
        <v>#REF!</v>
      </c>
      <c r="L397" s="209" t="e">
        <f>VLOOKUP($J397,'17-1（所得細目表　記載例）'!$B$9:$M$29,2,0)</f>
        <v>#REF!</v>
      </c>
      <c r="M397" s="458" t="s">
        <v>207</v>
      </c>
    </row>
    <row r="398" spans="2:13">
      <c r="D398" s="273"/>
      <c r="K398" s="273"/>
    </row>
    <row r="399" spans="2:13">
      <c r="B399" s="437" t="s">
        <v>140</v>
      </c>
      <c r="C399" s="441" t="s">
        <v>99</v>
      </c>
      <c r="E399" s="437" t="s">
        <v>186</v>
      </c>
      <c r="F399" s="437" t="s">
        <v>187</v>
      </c>
      <c r="G399" s="447"/>
      <c r="H399" s="451"/>
      <c r="I399" s="447" t="s">
        <v>33</v>
      </c>
      <c r="J399" s="441" t="s">
        <v>60</v>
      </c>
      <c r="L399" s="437" t="s">
        <v>172</v>
      </c>
      <c r="M399" s="459"/>
    </row>
    <row r="400" spans="2:13">
      <c r="B400" s="438" t="s">
        <v>105</v>
      </c>
      <c r="C400" s="442" t="s">
        <v>3</v>
      </c>
      <c r="E400" s="438" t="s">
        <v>86</v>
      </c>
      <c r="F400" s="438" t="s">
        <v>208</v>
      </c>
      <c r="G400" s="448" t="s">
        <v>110</v>
      </c>
      <c r="H400" s="452" t="s">
        <v>210</v>
      </c>
      <c r="I400" s="455" t="s">
        <v>53</v>
      </c>
      <c r="J400" s="442" t="s">
        <v>192</v>
      </c>
      <c r="L400" s="438" t="s">
        <v>193</v>
      </c>
      <c r="M400" s="442" t="s">
        <v>189</v>
      </c>
    </row>
    <row r="401" spans="2:13">
      <c r="B401" s="439"/>
      <c r="C401" s="443" t="s">
        <v>195</v>
      </c>
      <c r="D401" s="444"/>
      <c r="E401" s="439" t="s">
        <v>196</v>
      </c>
      <c r="F401" s="439"/>
      <c r="G401" s="449" t="s">
        <v>69</v>
      </c>
      <c r="H401" s="453" t="s">
        <v>211</v>
      </c>
      <c r="I401" s="454" t="s">
        <v>199</v>
      </c>
      <c r="J401" s="443"/>
      <c r="K401" s="457"/>
      <c r="L401" s="439" t="s">
        <v>200</v>
      </c>
      <c r="M401" s="443" t="s">
        <v>201</v>
      </c>
    </row>
    <row r="402" spans="2:13" ht="30.75" customHeight="1">
      <c r="B402" s="390" t="e">
        <f>VLOOKUP($J397,'17-1（所得細目表　記載例）'!$B$9:$M$29,3,0)</f>
        <v>#REF!</v>
      </c>
      <c r="C402" s="390" t="e">
        <f>VLOOKUP($J397,'17-1（所得細目表　記載例）'!$B$9:$M$29,4,0)</f>
        <v>#REF!</v>
      </c>
      <c r="D402" s="390"/>
      <c r="E402" s="390" t="e">
        <f>VLOOKUP($J397,'17-1（所得細目表　記載例）'!$B$9:$M$29,5,0)</f>
        <v>#REF!</v>
      </c>
      <c r="F402" s="390" t="e">
        <f>VLOOKUP($J397,'17-1（所得細目表　記載例）'!$B$9:$M$29,6,0)</f>
        <v>#REF!</v>
      </c>
      <c r="G402" s="390" t="e">
        <f>VLOOKUP($J397,'17-1（所得細目表　記載例）'!$B$9:$M$29,7,0)</f>
        <v>#REF!</v>
      </c>
      <c r="H402" s="390" t="e">
        <f>VLOOKUP($J397,'17-1（所得細目表　記載例）'!$B$9:$M$29,8,0)</f>
        <v>#REF!</v>
      </c>
      <c r="I402" s="390" t="e">
        <f>VLOOKUP($J397,'17-1（所得細目表　記載例）'!$B$9:$M$29,9,0)</f>
        <v>#REF!</v>
      </c>
      <c r="J402" s="390" t="e">
        <f>VLOOKUP($J397,'17-1（所得細目表　記載例）'!$B$9:$M$29,10,0)</f>
        <v>#REF!</v>
      </c>
      <c r="K402" s="390"/>
      <c r="L402" s="390" t="e">
        <f>VLOOKUP($J397,'17-1（所得細目表　記載例）'!$B$9:$M$29,11,0)</f>
        <v>#REF!</v>
      </c>
      <c r="M402" s="390" t="e">
        <f>VLOOKUP($J397,'17-1（所得細目表　記載例）'!$B$9:$M$29,12,0)</f>
        <v>#REF!</v>
      </c>
    </row>
    <row r="404" spans="2:13">
      <c r="C404" s="1" t="s">
        <v>213</v>
      </c>
    </row>
    <row r="406" spans="2:13">
      <c r="B406" s="440"/>
      <c r="C406" s="440"/>
      <c r="D406" s="440"/>
      <c r="E406" s="440"/>
      <c r="F406" s="440"/>
      <c r="G406" s="440"/>
      <c r="H406" s="440"/>
      <c r="I406" s="440"/>
      <c r="J406" s="440"/>
      <c r="K406" s="440"/>
      <c r="L406" s="440"/>
      <c r="M406" s="440"/>
    </row>
    <row r="408" spans="2:13" ht="14.25">
      <c r="E408" s="460" t="str">
        <f>$E$2</f>
        <v>中山間地域等直接支払交付金に係る所得計算表(令和８年)</v>
      </c>
      <c r="F408" s="460"/>
      <c r="G408" s="460"/>
      <c r="H408" s="460"/>
      <c r="I408" s="460"/>
      <c r="J408" s="460"/>
    </row>
    <row r="410" spans="2:13" ht="14.25">
      <c r="H410" s="209"/>
      <c r="I410" s="209"/>
      <c r="J410" s="209"/>
    </row>
    <row r="411" spans="2:13" ht="14.25">
      <c r="F411" s="209" t="s">
        <v>39</v>
      </c>
      <c r="G411" s="446" t="e">
        <f>IF($J411="","",'17-1（所得細目表　記載例）'!$J$2)</f>
        <v>#REF!</v>
      </c>
      <c r="H411" s="450" t="s">
        <v>204</v>
      </c>
      <c r="I411" s="450"/>
      <c r="J411" s="456" t="e">
        <f>IF(#REF!="","",#REF!)</f>
        <v>#REF!</v>
      </c>
      <c r="L411" s="209" t="e">
        <f>VLOOKUP($J411,'17-1（所得細目表　記載例）'!$B$9:$M$29,2,0)</f>
        <v>#REF!</v>
      </c>
      <c r="M411" s="458" t="s">
        <v>207</v>
      </c>
    </row>
    <row r="412" spans="2:13">
      <c r="D412" s="273"/>
      <c r="K412" s="273"/>
    </row>
    <row r="413" spans="2:13">
      <c r="B413" s="437" t="s">
        <v>140</v>
      </c>
      <c r="C413" s="441" t="s">
        <v>99</v>
      </c>
      <c r="E413" s="437" t="s">
        <v>186</v>
      </c>
      <c r="F413" s="437" t="s">
        <v>187</v>
      </c>
      <c r="G413" s="447"/>
      <c r="H413" s="451"/>
      <c r="I413" s="447" t="s">
        <v>33</v>
      </c>
      <c r="J413" s="441" t="s">
        <v>60</v>
      </c>
      <c r="L413" s="437" t="s">
        <v>172</v>
      </c>
      <c r="M413" s="459"/>
    </row>
    <row r="414" spans="2:13">
      <c r="B414" s="438" t="s">
        <v>105</v>
      </c>
      <c r="C414" s="442" t="s">
        <v>3</v>
      </c>
      <c r="E414" s="438" t="s">
        <v>86</v>
      </c>
      <c r="F414" s="438" t="s">
        <v>208</v>
      </c>
      <c r="G414" s="448" t="s">
        <v>110</v>
      </c>
      <c r="H414" s="452" t="s">
        <v>210</v>
      </c>
      <c r="I414" s="455" t="s">
        <v>53</v>
      </c>
      <c r="J414" s="442" t="s">
        <v>192</v>
      </c>
      <c r="L414" s="438" t="s">
        <v>193</v>
      </c>
      <c r="M414" s="442" t="s">
        <v>189</v>
      </c>
    </row>
    <row r="415" spans="2:13">
      <c r="B415" s="439"/>
      <c r="C415" s="443" t="s">
        <v>195</v>
      </c>
      <c r="D415" s="444"/>
      <c r="E415" s="439" t="s">
        <v>196</v>
      </c>
      <c r="F415" s="439"/>
      <c r="G415" s="449" t="s">
        <v>69</v>
      </c>
      <c r="H415" s="453" t="s">
        <v>211</v>
      </c>
      <c r="I415" s="454" t="s">
        <v>199</v>
      </c>
      <c r="J415" s="443"/>
      <c r="K415" s="457"/>
      <c r="L415" s="439" t="s">
        <v>200</v>
      </c>
      <c r="M415" s="443" t="s">
        <v>201</v>
      </c>
    </row>
    <row r="416" spans="2:13" ht="30.75" customHeight="1">
      <c r="B416" s="390" t="e">
        <f>VLOOKUP($J411,'17-1（所得細目表　記載例）'!$B$9:$M$29,3,0)</f>
        <v>#REF!</v>
      </c>
      <c r="C416" s="390" t="e">
        <f>VLOOKUP($J411,'17-1（所得細目表　記載例）'!$B$9:$M$29,4,0)</f>
        <v>#REF!</v>
      </c>
      <c r="D416" s="390"/>
      <c r="E416" s="390" t="e">
        <f>VLOOKUP($J411,'17-1（所得細目表　記載例）'!$B$9:$M$29,5,0)</f>
        <v>#REF!</v>
      </c>
      <c r="F416" s="390" t="e">
        <f>VLOOKUP($J411,'17-1（所得細目表　記載例）'!$B$9:$M$29,6,0)</f>
        <v>#REF!</v>
      </c>
      <c r="G416" s="390" t="e">
        <f>VLOOKUP($J411,'17-1（所得細目表　記載例）'!$B$9:$M$29,7,0)</f>
        <v>#REF!</v>
      </c>
      <c r="H416" s="390" t="e">
        <f>VLOOKUP($J411,'17-1（所得細目表　記載例）'!$B$9:$M$29,8,0)</f>
        <v>#REF!</v>
      </c>
      <c r="I416" s="390" t="e">
        <f>VLOOKUP($J411,'17-1（所得細目表　記載例）'!$B$9:$M$29,9,0)</f>
        <v>#REF!</v>
      </c>
      <c r="J416" s="390" t="e">
        <f>VLOOKUP($J411,'17-1（所得細目表　記載例）'!$B$9:$M$29,10,0)</f>
        <v>#REF!</v>
      </c>
      <c r="K416" s="390"/>
      <c r="L416" s="390" t="e">
        <f>VLOOKUP($J411,'17-1（所得細目表　記載例）'!$B$9:$M$29,11,0)</f>
        <v>#REF!</v>
      </c>
      <c r="M416" s="390" t="e">
        <f>VLOOKUP($J411,'17-1（所得細目表　記載例）'!$B$9:$M$29,12,0)</f>
        <v>#REF!</v>
      </c>
    </row>
    <row r="418" spans="2:13">
      <c r="C418" s="1" t="s">
        <v>213</v>
      </c>
    </row>
    <row r="420" spans="2:13">
      <c r="B420" s="440"/>
      <c r="C420" s="440"/>
      <c r="D420" s="440"/>
      <c r="E420" s="440"/>
      <c r="F420" s="440"/>
      <c r="G420" s="440"/>
      <c r="H420" s="440"/>
      <c r="I420" s="440"/>
      <c r="J420" s="440"/>
      <c r="K420" s="440"/>
      <c r="L420" s="440"/>
      <c r="M420" s="440"/>
    </row>
    <row r="422" spans="2:13" ht="14.25">
      <c r="E422" s="460" t="str">
        <f>$E$2</f>
        <v>中山間地域等直接支払交付金に係る所得計算表(令和８年)</v>
      </c>
      <c r="F422" s="460"/>
      <c r="G422" s="460"/>
      <c r="H422" s="460"/>
      <c r="I422" s="460"/>
      <c r="J422" s="460"/>
    </row>
    <row r="424" spans="2:13" ht="14.25">
      <c r="H424" s="209"/>
      <c r="I424" s="209"/>
      <c r="J424" s="209"/>
    </row>
    <row r="425" spans="2:13" ht="14.25">
      <c r="F425" s="209" t="s">
        <v>39</v>
      </c>
      <c r="G425" s="446" t="e">
        <f>IF($J425="","",'17-1（所得細目表　記載例）'!$J$2)</f>
        <v>#REF!</v>
      </c>
      <c r="H425" s="450" t="s">
        <v>204</v>
      </c>
      <c r="I425" s="450"/>
      <c r="J425" s="456" t="e">
        <f>IF(#REF!="","",#REF!)</f>
        <v>#REF!</v>
      </c>
      <c r="L425" s="209" t="e">
        <f>VLOOKUP($J425,'17-1（所得細目表　記載例）'!$B$9:$M$29,2,0)</f>
        <v>#REF!</v>
      </c>
      <c r="M425" s="458" t="s">
        <v>207</v>
      </c>
    </row>
    <row r="426" spans="2:13">
      <c r="D426" s="273"/>
      <c r="K426" s="273"/>
    </row>
    <row r="427" spans="2:13">
      <c r="B427" s="437" t="s">
        <v>140</v>
      </c>
      <c r="C427" s="441" t="s">
        <v>99</v>
      </c>
      <c r="E427" s="437" t="s">
        <v>186</v>
      </c>
      <c r="F427" s="437" t="s">
        <v>187</v>
      </c>
      <c r="G427" s="447"/>
      <c r="H427" s="451"/>
      <c r="I427" s="447" t="s">
        <v>33</v>
      </c>
      <c r="J427" s="441" t="s">
        <v>60</v>
      </c>
      <c r="L427" s="437" t="s">
        <v>172</v>
      </c>
      <c r="M427" s="459"/>
    </row>
    <row r="428" spans="2:13">
      <c r="B428" s="438" t="s">
        <v>105</v>
      </c>
      <c r="C428" s="442" t="s">
        <v>3</v>
      </c>
      <c r="E428" s="438" t="s">
        <v>86</v>
      </c>
      <c r="F428" s="438" t="s">
        <v>208</v>
      </c>
      <c r="G428" s="448" t="s">
        <v>110</v>
      </c>
      <c r="H428" s="452" t="s">
        <v>210</v>
      </c>
      <c r="I428" s="455" t="s">
        <v>53</v>
      </c>
      <c r="J428" s="442" t="s">
        <v>192</v>
      </c>
      <c r="L428" s="438" t="s">
        <v>193</v>
      </c>
      <c r="M428" s="442" t="s">
        <v>189</v>
      </c>
    </row>
    <row r="429" spans="2:13">
      <c r="B429" s="439"/>
      <c r="C429" s="443" t="s">
        <v>195</v>
      </c>
      <c r="D429" s="444"/>
      <c r="E429" s="439" t="s">
        <v>196</v>
      </c>
      <c r="F429" s="439"/>
      <c r="G429" s="449" t="s">
        <v>69</v>
      </c>
      <c r="H429" s="453" t="s">
        <v>211</v>
      </c>
      <c r="I429" s="454" t="s">
        <v>199</v>
      </c>
      <c r="J429" s="443"/>
      <c r="K429" s="457"/>
      <c r="L429" s="439" t="s">
        <v>200</v>
      </c>
      <c r="M429" s="443" t="s">
        <v>201</v>
      </c>
    </row>
    <row r="430" spans="2:13" ht="30.75" customHeight="1">
      <c r="B430" s="390" t="e">
        <f>VLOOKUP($J425,'17-1（所得細目表　記載例）'!$B$9:$M$29,3,0)</f>
        <v>#REF!</v>
      </c>
      <c r="C430" s="390" t="e">
        <f>VLOOKUP($J425,'17-1（所得細目表　記載例）'!$B$9:$M$29,4,0)</f>
        <v>#REF!</v>
      </c>
      <c r="D430" s="390"/>
      <c r="E430" s="390" t="e">
        <f>VLOOKUP($J425,'17-1（所得細目表　記載例）'!$B$9:$M$29,5,0)</f>
        <v>#REF!</v>
      </c>
      <c r="F430" s="390" t="e">
        <f>VLOOKUP($J425,'17-1（所得細目表　記載例）'!$B$9:$M$29,6,0)</f>
        <v>#REF!</v>
      </c>
      <c r="G430" s="390" t="e">
        <f>VLOOKUP($J425,'17-1（所得細目表　記載例）'!$B$9:$M$29,7,0)</f>
        <v>#REF!</v>
      </c>
      <c r="H430" s="390" t="e">
        <f>VLOOKUP($J425,'17-1（所得細目表　記載例）'!$B$9:$M$29,8,0)</f>
        <v>#REF!</v>
      </c>
      <c r="I430" s="390" t="e">
        <f>VLOOKUP($J425,'17-1（所得細目表　記載例）'!$B$9:$M$29,9,0)</f>
        <v>#REF!</v>
      </c>
      <c r="J430" s="390" t="e">
        <f>VLOOKUP($J425,'17-1（所得細目表　記載例）'!$B$9:$M$29,10,0)</f>
        <v>#REF!</v>
      </c>
      <c r="K430" s="390"/>
      <c r="L430" s="390" t="e">
        <f>VLOOKUP($J425,'17-1（所得細目表　記載例）'!$B$9:$M$29,11,0)</f>
        <v>#REF!</v>
      </c>
      <c r="M430" s="390" t="e">
        <f>VLOOKUP($J425,'17-1（所得細目表　記載例）'!$B$9:$M$29,12,0)</f>
        <v>#REF!</v>
      </c>
    </row>
    <row r="432" spans="2:13">
      <c r="C432" s="1" t="s">
        <v>213</v>
      </c>
    </row>
    <row r="434" spans="2:13">
      <c r="B434" s="440"/>
      <c r="C434" s="440"/>
      <c r="D434" s="440"/>
      <c r="E434" s="440"/>
      <c r="F434" s="440"/>
      <c r="G434" s="440"/>
      <c r="H434" s="440"/>
      <c r="I434" s="440"/>
      <c r="J434" s="440"/>
      <c r="K434" s="440"/>
      <c r="L434" s="440"/>
      <c r="M434" s="440"/>
    </row>
    <row r="436" spans="2:13" ht="14.25">
      <c r="E436" s="460" t="str">
        <f>$E$2</f>
        <v>中山間地域等直接支払交付金に係る所得計算表(令和８年)</v>
      </c>
      <c r="F436" s="460"/>
      <c r="G436" s="460"/>
      <c r="H436" s="460"/>
      <c r="I436" s="460"/>
      <c r="J436" s="460"/>
    </row>
    <row r="438" spans="2:13" ht="14.25">
      <c r="H438" s="209"/>
      <c r="I438" s="209"/>
      <c r="J438" s="209"/>
    </row>
    <row r="439" spans="2:13" ht="14.25">
      <c r="F439" s="209" t="s">
        <v>39</v>
      </c>
      <c r="G439" s="446" t="e">
        <f>IF($J439="","",'17-1（所得細目表　記載例）'!$J$2)</f>
        <v>#REF!</v>
      </c>
      <c r="H439" s="450" t="s">
        <v>204</v>
      </c>
      <c r="I439" s="450"/>
      <c r="J439" s="456" t="e">
        <f>IF(#REF!="","",#REF!)</f>
        <v>#REF!</v>
      </c>
      <c r="L439" s="209" t="e">
        <f>VLOOKUP($J439,'17-1（所得細目表　記載例）'!$B$9:$M$29,2,0)</f>
        <v>#REF!</v>
      </c>
      <c r="M439" s="458" t="s">
        <v>207</v>
      </c>
    </row>
    <row r="440" spans="2:13">
      <c r="D440" s="273"/>
      <c r="K440" s="273"/>
    </row>
    <row r="441" spans="2:13">
      <c r="B441" s="437" t="s">
        <v>140</v>
      </c>
      <c r="C441" s="441" t="s">
        <v>99</v>
      </c>
      <c r="E441" s="437" t="s">
        <v>186</v>
      </c>
      <c r="F441" s="437" t="s">
        <v>187</v>
      </c>
      <c r="G441" s="447"/>
      <c r="H441" s="451"/>
      <c r="I441" s="447" t="s">
        <v>33</v>
      </c>
      <c r="J441" s="441" t="s">
        <v>60</v>
      </c>
      <c r="L441" s="437" t="s">
        <v>172</v>
      </c>
      <c r="M441" s="459"/>
    </row>
    <row r="442" spans="2:13">
      <c r="B442" s="438" t="s">
        <v>105</v>
      </c>
      <c r="C442" s="442" t="s">
        <v>3</v>
      </c>
      <c r="E442" s="438" t="s">
        <v>86</v>
      </c>
      <c r="F442" s="438" t="s">
        <v>208</v>
      </c>
      <c r="G442" s="448" t="s">
        <v>110</v>
      </c>
      <c r="H442" s="452" t="s">
        <v>210</v>
      </c>
      <c r="I442" s="455" t="s">
        <v>53</v>
      </c>
      <c r="J442" s="442" t="s">
        <v>192</v>
      </c>
      <c r="L442" s="438" t="s">
        <v>193</v>
      </c>
      <c r="M442" s="442" t="s">
        <v>189</v>
      </c>
    </row>
    <row r="443" spans="2:13">
      <c r="B443" s="439"/>
      <c r="C443" s="443" t="s">
        <v>195</v>
      </c>
      <c r="D443" s="444"/>
      <c r="E443" s="439" t="s">
        <v>196</v>
      </c>
      <c r="F443" s="439"/>
      <c r="G443" s="449" t="s">
        <v>69</v>
      </c>
      <c r="H443" s="453" t="s">
        <v>211</v>
      </c>
      <c r="I443" s="454" t="s">
        <v>199</v>
      </c>
      <c r="J443" s="443"/>
      <c r="K443" s="457"/>
      <c r="L443" s="439" t="s">
        <v>200</v>
      </c>
      <c r="M443" s="443" t="s">
        <v>201</v>
      </c>
    </row>
    <row r="444" spans="2:13" ht="30.75" customHeight="1">
      <c r="B444" s="390" t="e">
        <f>VLOOKUP($J439,'17-1（所得細目表　記載例）'!$B$9:$M$29,3,0)</f>
        <v>#REF!</v>
      </c>
      <c r="C444" s="390" t="e">
        <f>VLOOKUP($J439,'17-1（所得細目表　記載例）'!$B$9:$M$29,4,0)</f>
        <v>#REF!</v>
      </c>
      <c r="D444" s="390"/>
      <c r="E444" s="390" t="e">
        <f>VLOOKUP($J439,'17-1（所得細目表　記載例）'!$B$9:$M$29,5,0)</f>
        <v>#REF!</v>
      </c>
      <c r="F444" s="390" t="e">
        <f>VLOOKUP($J439,'17-1（所得細目表　記載例）'!$B$9:$M$29,6,0)</f>
        <v>#REF!</v>
      </c>
      <c r="G444" s="390" t="e">
        <f>VLOOKUP($J439,'17-1（所得細目表　記載例）'!$B$9:$M$29,7,0)</f>
        <v>#REF!</v>
      </c>
      <c r="H444" s="390" t="e">
        <f>VLOOKUP($J439,'17-1（所得細目表　記載例）'!$B$9:$M$29,8,0)</f>
        <v>#REF!</v>
      </c>
      <c r="I444" s="390" t="e">
        <f>VLOOKUP($J439,'17-1（所得細目表　記載例）'!$B$9:$M$29,9,0)</f>
        <v>#REF!</v>
      </c>
      <c r="J444" s="390" t="e">
        <f>VLOOKUP($J439,'17-1（所得細目表　記載例）'!$B$9:$M$29,10,0)</f>
        <v>#REF!</v>
      </c>
      <c r="K444" s="390"/>
      <c r="L444" s="390" t="e">
        <f>VLOOKUP($J439,'17-1（所得細目表　記載例）'!$B$9:$M$29,11,0)</f>
        <v>#REF!</v>
      </c>
      <c r="M444" s="390" t="e">
        <f>VLOOKUP($J439,'17-1（所得細目表　記載例）'!$B$9:$M$29,12,0)</f>
        <v>#REF!</v>
      </c>
    </row>
    <row r="446" spans="2:13">
      <c r="C446" s="1" t="s">
        <v>213</v>
      </c>
    </row>
    <row r="448" spans="2:13">
      <c r="B448" s="440"/>
      <c r="C448" s="440"/>
      <c r="D448" s="440"/>
      <c r="E448" s="440"/>
      <c r="F448" s="440"/>
      <c r="G448" s="440"/>
      <c r="H448" s="440"/>
      <c r="I448" s="440"/>
      <c r="J448" s="440"/>
      <c r="K448" s="440"/>
      <c r="L448" s="440"/>
      <c r="M448" s="440"/>
    </row>
    <row r="450" spans="2:13" ht="14.25">
      <c r="E450" s="460" t="str">
        <f>$E$2</f>
        <v>中山間地域等直接支払交付金に係る所得計算表(令和８年)</v>
      </c>
      <c r="F450" s="460"/>
      <c r="G450" s="460"/>
      <c r="H450" s="460"/>
      <c r="I450" s="460"/>
      <c r="J450" s="460"/>
    </row>
    <row r="452" spans="2:13" ht="14.25">
      <c r="H452" s="209"/>
      <c r="I452" s="209"/>
      <c r="J452" s="209"/>
    </row>
    <row r="453" spans="2:13" ht="14.25">
      <c r="F453" s="209" t="s">
        <v>39</v>
      </c>
      <c r="G453" s="446" t="e">
        <f>IF($J453="","",'17-1（所得細目表　記載例）'!$J$2)</f>
        <v>#REF!</v>
      </c>
      <c r="H453" s="450" t="s">
        <v>204</v>
      </c>
      <c r="I453" s="450"/>
      <c r="J453" s="456" t="e">
        <f>IF(#REF!="","",#REF!)</f>
        <v>#REF!</v>
      </c>
      <c r="L453" s="209" t="e">
        <f>VLOOKUP($J453,'17-1（所得細目表　記載例）'!$B$9:$M$29,2,0)</f>
        <v>#REF!</v>
      </c>
      <c r="M453" s="458" t="s">
        <v>207</v>
      </c>
    </row>
    <row r="454" spans="2:13">
      <c r="D454" s="273"/>
      <c r="K454" s="273"/>
    </row>
    <row r="455" spans="2:13">
      <c r="B455" s="437" t="s">
        <v>140</v>
      </c>
      <c r="C455" s="441" t="s">
        <v>99</v>
      </c>
      <c r="E455" s="437" t="s">
        <v>186</v>
      </c>
      <c r="F455" s="437" t="s">
        <v>187</v>
      </c>
      <c r="G455" s="447"/>
      <c r="H455" s="451"/>
      <c r="I455" s="447" t="s">
        <v>33</v>
      </c>
      <c r="J455" s="441" t="s">
        <v>60</v>
      </c>
      <c r="L455" s="437" t="s">
        <v>172</v>
      </c>
      <c r="M455" s="459"/>
    </row>
    <row r="456" spans="2:13">
      <c r="B456" s="438" t="s">
        <v>105</v>
      </c>
      <c r="C456" s="442" t="s">
        <v>3</v>
      </c>
      <c r="E456" s="438" t="s">
        <v>86</v>
      </c>
      <c r="F456" s="438" t="s">
        <v>208</v>
      </c>
      <c r="G456" s="448" t="s">
        <v>110</v>
      </c>
      <c r="H456" s="452" t="s">
        <v>210</v>
      </c>
      <c r="I456" s="455" t="s">
        <v>53</v>
      </c>
      <c r="J456" s="442" t="s">
        <v>192</v>
      </c>
      <c r="L456" s="438" t="s">
        <v>193</v>
      </c>
      <c r="M456" s="442" t="s">
        <v>189</v>
      </c>
    </row>
    <row r="457" spans="2:13">
      <c r="B457" s="439"/>
      <c r="C457" s="443" t="s">
        <v>195</v>
      </c>
      <c r="D457" s="444"/>
      <c r="E457" s="439" t="s">
        <v>196</v>
      </c>
      <c r="F457" s="439"/>
      <c r="G457" s="449" t="s">
        <v>69</v>
      </c>
      <c r="H457" s="453" t="s">
        <v>211</v>
      </c>
      <c r="I457" s="454" t="s">
        <v>199</v>
      </c>
      <c r="J457" s="443"/>
      <c r="K457" s="457"/>
      <c r="L457" s="439" t="s">
        <v>200</v>
      </c>
      <c r="M457" s="443" t="s">
        <v>201</v>
      </c>
    </row>
    <row r="458" spans="2:13" ht="30.75" customHeight="1">
      <c r="B458" s="390" t="e">
        <f>VLOOKUP($J453,'17-1（所得細目表　記載例）'!$B$9:$M$29,3,0)</f>
        <v>#REF!</v>
      </c>
      <c r="C458" s="390" t="e">
        <f>VLOOKUP($J453,'17-1（所得細目表　記載例）'!$B$9:$M$29,4,0)</f>
        <v>#REF!</v>
      </c>
      <c r="D458" s="390"/>
      <c r="E458" s="390" t="e">
        <f>VLOOKUP($J453,'17-1（所得細目表　記載例）'!$B$9:$M$29,5,0)</f>
        <v>#REF!</v>
      </c>
      <c r="F458" s="390" t="e">
        <f>VLOOKUP($J453,'17-1（所得細目表　記載例）'!$B$9:$M$29,6,0)</f>
        <v>#REF!</v>
      </c>
      <c r="G458" s="390" t="e">
        <f>VLOOKUP($J453,'17-1（所得細目表　記載例）'!$B$9:$M$29,7,0)</f>
        <v>#REF!</v>
      </c>
      <c r="H458" s="390" t="e">
        <f>VLOOKUP($J453,'17-1（所得細目表　記載例）'!$B$9:$M$29,8,0)</f>
        <v>#REF!</v>
      </c>
      <c r="I458" s="390" t="e">
        <f>VLOOKUP($J453,'17-1（所得細目表　記載例）'!$B$9:$M$29,9,0)</f>
        <v>#REF!</v>
      </c>
      <c r="J458" s="390" t="e">
        <f>VLOOKUP($J453,'17-1（所得細目表　記載例）'!$B$9:$M$29,10,0)</f>
        <v>#REF!</v>
      </c>
      <c r="K458" s="390"/>
      <c r="L458" s="390" t="e">
        <f>VLOOKUP($J453,'17-1（所得細目表　記載例）'!$B$9:$M$29,11,0)</f>
        <v>#REF!</v>
      </c>
      <c r="M458" s="390" t="e">
        <f>VLOOKUP($J453,'17-1（所得細目表　記載例）'!$B$9:$M$29,12,0)</f>
        <v>#REF!</v>
      </c>
    </row>
    <row r="460" spans="2:13">
      <c r="C460" s="1" t="s">
        <v>213</v>
      </c>
    </row>
    <row r="462" spans="2:13">
      <c r="B462" s="440"/>
      <c r="C462" s="440"/>
      <c r="D462" s="440"/>
      <c r="E462" s="440"/>
      <c r="F462" s="440"/>
      <c r="G462" s="440"/>
      <c r="H462" s="440"/>
      <c r="I462" s="440"/>
      <c r="J462" s="440"/>
      <c r="K462" s="440"/>
      <c r="L462" s="440"/>
      <c r="M462" s="440"/>
    </row>
    <row r="464" spans="2:13" ht="14.25">
      <c r="E464" s="460" t="str">
        <f>$E$2</f>
        <v>中山間地域等直接支払交付金に係る所得計算表(令和８年)</v>
      </c>
      <c r="F464" s="460"/>
      <c r="G464" s="460"/>
      <c r="H464" s="460"/>
      <c r="I464" s="460"/>
      <c r="J464" s="460"/>
    </row>
    <row r="466" spans="2:13" ht="14.25">
      <c r="H466" s="209"/>
      <c r="I466" s="209"/>
      <c r="J466" s="209"/>
    </row>
    <row r="467" spans="2:13" ht="14.25">
      <c r="F467" s="209" t="s">
        <v>39</v>
      </c>
      <c r="G467" s="446" t="e">
        <f>IF($J467="","",'17-1（所得細目表　記載例）'!$J$2)</f>
        <v>#REF!</v>
      </c>
      <c r="H467" s="450" t="s">
        <v>204</v>
      </c>
      <c r="I467" s="450"/>
      <c r="J467" s="456" t="e">
        <f>IF(#REF!="","",#REF!)</f>
        <v>#REF!</v>
      </c>
      <c r="L467" s="209" t="e">
        <f>VLOOKUP($J467,'17-1（所得細目表　記載例）'!$B$9:$M$29,2,0)</f>
        <v>#REF!</v>
      </c>
      <c r="M467" s="458" t="s">
        <v>207</v>
      </c>
    </row>
    <row r="468" spans="2:13">
      <c r="D468" s="273"/>
      <c r="K468" s="273"/>
    </row>
    <row r="469" spans="2:13">
      <c r="B469" s="437" t="s">
        <v>140</v>
      </c>
      <c r="C469" s="441" t="s">
        <v>99</v>
      </c>
      <c r="E469" s="437" t="s">
        <v>186</v>
      </c>
      <c r="F469" s="437" t="s">
        <v>187</v>
      </c>
      <c r="G469" s="447"/>
      <c r="H469" s="451"/>
      <c r="I469" s="447" t="s">
        <v>33</v>
      </c>
      <c r="J469" s="441" t="s">
        <v>60</v>
      </c>
      <c r="L469" s="437" t="s">
        <v>172</v>
      </c>
      <c r="M469" s="459"/>
    </row>
    <row r="470" spans="2:13">
      <c r="B470" s="438" t="s">
        <v>105</v>
      </c>
      <c r="C470" s="442" t="s">
        <v>3</v>
      </c>
      <c r="E470" s="438" t="s">
        <v>86</v>
      </c>
      <c r="F470" s="438" t="s">
        <v>208</v>
      </c>
      <c r="G470" s="448" t="s">
        <v>110</v>
      </c>
      <c r="H470" s="452" t="s">
        <v>210</v>
      </c>
      <c r="I470" s="455" t="s">
        <v>53</v>
      </c>
      <c r="J470" s="442" t="s">
        <v>192</v>
      </c>
      <c r="L470" s="438" t="s">
        <v>193</v>
      </c>
      <c r="M470" s="442" t="s">
        <v>189</v>
      </c>
    </row>
    <row r="471" spans="2:13">
      <c r="B471" s="439"/>
      <c r="C471" s="443" t="s">
        <v>195</v>
      </c>
      <c r="D471" s="444"/>
      <c r="E471" s="439" t="s">
        <v>196</v>
      </c>
      <c r="F471" s="439"/>
      <c r="G471" s="449" t="s">
        <v>69</v>
      </c>
      <c r="H471" s="453" t="s">
        <v>211</v>
      </c>
      <c r="I471" s="454" t="s">
        <v>199</v>
      </c>
      <c r="J471" s="443"/>
      <c r="K471" s="457"/>
      <c r="L471" s="439" t="s">
        <v>200</v>
      </c>
      <c r="M471" s="443" t="s">
        <v>201</v>
      </c>
    </row>
    <row r="472" spans="2:13" ht="30.75" customHeight="1">
      <c r="B472" s="390" t="e">
        <f>VLOOKUP($J467,'17-1（所得細目表　記載例）'!$B$9:$M$29,3,0)</f>
        <v>#REF!</v>
      </c>
      <c r="C472" s="390" t="e">
        <f>VLOOKUP($J467,'17-1（所得細目表　記載例）'!$B$9:$M$29,4,0)</f>
        <v>#REF!</v>
      </c>
      <c r="D472" s="390"/>
      <c r="E472" s="390" t="e">
        <f>VLOOKUP($J467,'17-1（所得細目表　記載例）'!$B$9:$M$29,5,0)</f>
        <v>#REF!</v>
      </c>
      <c r="F472" s="390" t="e">
        <f>VLOOKUP($J467,'17-1（所得細目表　記載例）'!$B$9:$M$29,6,0)</f>
        <v>#REF!</v>
      </c>
      <c r="G472" s="390" t="e">
        <f>VLOOKUP($J467,'17-1（所得細目表　記載例）'!$B$9:$M$29,7,0)</f>
        <v>#REF!</v>
      </c>
      <c r="H472" s="390" t="e">
        <f>VLOOKUP($J467,'17-1（所得細目表　記載例）'!$B$9:$M$29,8,0)</f>
        <v>#REF!</v>
      </c>
      <c r="I472" s="390" t="e">
        <f>VLOOKUP($J467,'17-1（所得細目表　記載例）'!$B$9:$M$29,9,0)</f>
        <v>#REF!</v>
      </c>
      <c r="J472" s="390" t="e">
        <f>VLOOKUP($J467,'17-1（所得細目表　記載例）'!$B$9:$M$29,10,0)</f>
        <v>#REF!</v>
      </c>
      <c r="K472" s="390"/>
      <c r="L472" s="390" t="e">
        <f>VLOOKUP($J467,'17-1（所得細目表　記載例）'!$B$9:$M$29,11,0)</f>
        <v>#REF!</v>
      </c>
      <c r="M472" s="390" t="e">
        <f>VLOOKUP($J467,'17-1（所得細目表　記載例）'!$B$9:$M$29,12,0)</f>
        <v>#REF!</v>
      </c>
    </row>
    <row r="474" spans="2:13">
      <c r="C474" s="1" t="s">
        <v>213</v>
      </c>
    </row>
    <row r="476" spans="2:13">
      <c r="B476" s="440"/>
      <c r="C476" s="440"/>
      <c r="D476" s="440"/>
      <c r="E476" s="440"/>
      <c r="F476" s="440"/>
      <c r="G476" s="440"/>
      <c r="H476" s="440"/>
      <c r="I476" s="440"/>
      <c r="J476" s="440"/>
      <c r="K476" s="440"/>
      <c r="L476" s="440"/>
      <c r="M476" s="440"/>
    </row>
    <row r="478" spans="2:13" ht="14.25">
      <c r="E478" s="460" t="str">
        <f>$E$2</f>
        <v>中山間地域等直接支払交付金に係る所得計算表(令和８年)</v>
      </c>
      <c r="F478" s="460"/>
      <c r="G478" s="460"/>
      <c r="H478" s="460"/>
      <c r="I478" s="460"/>
      <c r="J478" s="460"/>
    </row>
    <row r="480" spans="2:13" ht="14.25">
      <c r="H480" s="209"/>
      <c r="I480" s="209"/>
      <c r="J480" s="209"/>
    </row>
    <row r="481" spans="2:13" ht="14.25">
      <c r="F481" s="209" t="s">
        <v>39</v>
      </c>
      <c r="G481" s="446" t="e">
        <f>IF($J481="","",'17-1（所得細目表　記載例）'!$J$2)</f>
        <v>#REF!</v>
      </c>
      <c r="H481" s="450" t="s">
        <v>204</v>
      </c>
      <c r="I481" s="450"/>
      <c r="J481" s="456" t="e">
        <f>IF(#REF!="","",#REF!)</f>
        <v>#REF!</v>
      </c>
      <c r="L481" s="209" t="e">
        <f>VLOOKUP($J481,'17-1（所得細目表　記載例）'!$B$9:$M$29,2,0)</f>
        <v>#REF!</v>
      </c>
      <c r="M481" s="458" t="s">
        <v>207</v>
      </c>
    </row>
    <row r="482" spans="2:13">
      <c r="D482" s="273"/>
      <c r="K482" s="273"/>
    </row>
    <row r="483" spans="2:13">
      <c r="B483" s="437" t="s">
        <v>140</v>
      </c>
      <c r="C483" s="441" t="s">
        <v>99</v>
      </c>
      <c r="E483" s="437" t="s">
        <v>186</v>
      </c>
      <c r="F483" s="437" t="s">
        <v>187</v>
      </c>
      <c r="G483" s="447"/>
      <c r="H483" s="451"/>
      <c r="I483" s="447" t="s">
        <v>33</v>
      </c>
      <c r="J483" s="441" t="s">
        <v>60</v>
      </c>
      <c r="L483" s="437" t="s">
        <v>172</v>
      </c>
      <c r="M483" s="459"/>
    </row>
    <row r="484" spans="2:13">
      <c r="B484" s="438" t="s">
        <v>105</v>
      </c>
      <c r="C484" s="442" t="s">
        <v>3</v>
      </c>
      <c r="E484" s="438" t="s">
        <v>86</v>
      </c>
      <c r="F484" s="438" t="s">
        <v>208</v>
      </c>
      <c r="G484" s="448" t="s">
        <v>110</v>
      </c>
      <c r="H484" s="452" t="s">
        <v>210</v>
      </c>
      <c r="I484" s="455" t="s">
        <v>53</v>
      </c>
      <c r="J484" s="442" t="s">
        <v>192</v>
      </c>
      <c r="L484" s="438" t="s">
        <v>193</v>
      </c>
      <c r="M484" s="442" t="s">
        <v>189</v>
      </c>
    </row>
    <row r="485" spans="2:13">
      <c r="B485" s="439"/>
      <c r="C485" s="443" t="s">
        <v>195</v>
      </c>
      <c r="D485" s="444"/>
      <c r="E485" s="439" t="s">
        <v>196</v>
      </c>
      <c r="F485" s="439"/>
      <c r="G485" s="449" t="s">
        <v>69</v>
      </c>
      <c r="H485" s="453" t="s">
        <v>211</v>
      </c>
      <c r="I485" s="454" t="s">
        <v>199</v>
      </c>
      <c r="J485" s="443"/>
      <c r="K485" s="457"/>
      <c r="L485" s="439" t="s">
        <v>200</v>
      </c>
      <c r="M485" s="443" t="s">
        <v>201</v>
      </c>
    </row>
    <row r="486" spans="2:13" ht="30.75" customHeight="1">
      <c r="B486" s="390" t="e">
        <f>VLOOKUP($J481,'17-1（所得細目表　記載例）'!$B$9:$M$29,3,0)</f>
        <v>#REF!</v>
      </c>
      <c r="C486" s="390" t="e">
        <f>VLOOKUP($J481,'17-1（所得細目表　記載例）'!$B$9:$M$29,4,0)</f>
        <v>#REF!</v>
      </c>
      <c r="D486" s="390"/>
      <c r="E486" s="390" t="e">
        <f>VLOOKUP($J481,'17-1（所得細目表　記載例）'!$B$9:$M$29,5,0)</f>
        <v>#REF!</v>
      </c>
      <c r="F486" s="390" t="e">
        <f>VLOOKUP($J481,'17-1（所得細目表　記載例）'!$B$9:$M$29,6,0)</f>
        <v>#REF!</v>
      </c>
      <c r="G486" s="390" t="e">
        <f>VLOOKUP($J481,'17-1（所得細目表　記載例）'!$B$9:$M$29,7,0)</f>
        <v>#REF!</v>
      </c>
      <c r="H486" s="390" t="e">
        <f>VLOOKUP($J481,'17-1（所得細目表　記載例）'!$B$9:$M$29,8,0)</f>
        <v>#REF!</v>
      </c>
      <c r="I486" s="390" t="e">
        <f>VLOOKUP($J481,'17-1（所得細目表　記載例）'!$B$9:$M$29,9,0)</f>
        <v>#REF!</v>
      </c>
      <c r="J486" s="390" t="e">
        <f>VLOOKUP($J481,'17-1（所得細目表　記載例）'!$B$9:$M$29,10,0)</f>
        <v>#REF!</v>
      </c>
      <c r="K486" s="390"/>
      <c r="L486" s="390" t="e">
        <f>VLOOKUP($J481,'17-1（所得細目表　記載例）'!$B$9:$M$29,11,0)</f>
        <v>#REF!</v>
      </c>
      <c r="M486" s="390" t="e">
        <f>VLOOKUP($J481,'17-1（所得細目表　記載例）'!$B$9:$M$29,12,0)</f>
        <v>#REF!</v>
      </c>
    </row>
    <row r="488" spans="2:13">
      <c r="C488" s="1" t="s">
        <v>213</v>
      </c>
    </row>
    <row r="490" spans="2:13">
      <c r="B490" s="440"/>
      <c r="C490" s="440"/>
      <c r="D490" s="440"/>
      <c r="E490" s="440"/>
      <c r="F490" s="440"/>
      <c r="G490" s="440"/>
      <c r="H490" s="440"/>
      <c r="I490" s="440"/>
      <c r="J490" s="440"/>
      <c r="K490" s="440"/>
      <c r="L490" s="440"/>
      <c r="M490" s="440"/>
    </row>
    <row r="492" spans="2:13" ht="14.25">
      <c r="E492" s="460" t="str">
        <f>$E$2</f>
        <v>中山間地域等直接支払交付金に係る所得計算表(令和８年)</v>
      </c>
      <c r="F492" s="460"/>
      <c r="G492" s="460"/>
      <c r="H492" s="460"/>
      <c r="I492" s="460"/>
      <c r="J492" s="460"/>
    </row>
    <row r="494" spans="2:13" ht="14.25">
      <c r="H494" s="209"/>
      <c r="I494" s="209"/>
      <c r="J494" s="209"/>
    </row>
    <row r="495" spans="2:13" ht="14.25">
      <c r="F495" s="209" t="s">
        <v>39</v>
      </c>
      <c r="G495" s="446" t="e">
        <f>IF($J495="","",'17-1（所得細目表　記載例）'!$J$2)</f>
        <v>#REF!</v>
      </c>
      <c r="H495" s="450" t="s">
        <v>204</v>
      </c>
      <c r="I495" s="450"/>
      <c r="J495" s="456" t="e">
        <f>IF(#REF!="","",#REF!)</f>
        <v>#REF!</v>
      </c>
      <c r="L495" s="209" t="e">
        <f>VLOOKUP($J495,'17-1（所得細目表　記載例）'!$B$9:$M$29,2,0)</f>
        <v>#REF!</v>
      </c>
      <c r="M495" s="458" t="s">
        <v>207</v>
      </c>
    </row>
    <row r="496" spans="2:13">
      <c r="D496" s="273"/>
      <c r="K496" s="273"/>
    </row>
    <row r="497" spans="2:13">
      <c r="B497" s="437" t="s">
        <v>140</v>
      </c>
      <c r="C497" s="441" t="s">
        <v>99</v>
      </c>
      <c r="E497" s="437" t="s">
        <v>186</v>
      </c>
      <c r="F497" s="437" t="s">
        <v>187</v>
      </c>
      <c r="G497" s="447"/>
      <c r="H497" s="451"/>
      <c r="I497" s="447" t="s">
        <v>33</v>
      </c>
      <c r="J497" s="441" t="s">
        <v>60</v>
      </c>
      <c r="L497" s="437" t="s">
        <v>172</v>
      </c>
      <c r="M497" s="459"/>
    </row>
    <row r="498" spans="2:13">
      <c r="B498" s="438" t="s">
        <v>105</v>
      </c>
      <c r="C498" s="442" t="s">
        <v>3</v>
      </c>
      <c r="E498" s="438" t="s">
        <v>86</v>
      </c>
      <c r="F498" s="438" t="s">
        <v>208</v>
      </c>
      <c r="G498" s="448" t="s">
        <v>110</v>
      </c>
      <c r="H498" s="452" t="s">
        <v>210</v>
      </c>
      <c r="I498" s="455" t="s">
        <v>53</v>
      </c>
      <c r="J498" s="442" t="s">
        <v>192</v>
      </c>
      <c r="L498" s="438" t="s">
        <v>193</v>
      </c>
      <c r="M498" s="442" t="s">
        <v>189</v>
      </c>
    </row>
    <row r="499" spans="2:13">
      <c r="B499" s="439"/>
      <c r="C499" s="443" t="s">
        <v>195</v>
      </c>
      <c r="D499" s="444"/>
      <c r="E499" s="439" t="s">
        <v>196</v>
      </c>
      <c r="F499" s="439"/>
      <c r="G499" s="449" t="s">
        <v>69</v>
      </c>
      <c r="H499" s="453" t="s">
        <v>211</v>
      </c>
      <c r="I499" s="454" t="s">
        <v>199</v>
      </c>
      <c r="J499" s="443"/>
      <c r="K499" s="457"/>
      <c r="L499" s="439" t="s">
        <v>200</v>
      </c>
      <c r="M499" s="443" t="s">
        <v>201</v>
      </c>
    </row>
    <row r="500" spans="2:13" ht="30.75" customHeight="1">
      <c r="B500" s="390" t="e">
        <f>VLOOKUP($J495,'17-1（所得細目表　記載例）'!$B$9:$M$29,3,0)</f>
        <v>#REF!</v>
      </c>
      <c r="C500" s="390" t="e">
        <f>VLOOKUP($J495,'17-1（所得細目表　記載例）'!$B$9:$M$29,4,0)</f>
        <v>#REF!</v>
      </c>
      <c r="D500" s="390"/>
      <c r="E500" s="390" t="e">
        <f>VLOOKUP($J495,'17-1（所得細目表　記載例）'!$B$9:$M$29,5,0)</f>
        <v>#REF!</v>
      </c>
      <c r="F500" s="390" t="e">
        <f>VLOOKUP($J495,'17-1（所得細目表　記載例）'!$B$9:$M$29,6,0)</f>
        <v>#REF!</v>
      </c>
      <c r="G500" s="390" t="e">
        <f>VLOOKUP($J495,'17-1（所得細目表　記載例）'!$B$9:$M$29,7,0)</f>
        <v>#REF!</v>
      </c>
      <c r="H500" s="390" t="e">
        <f>VLOOKUP($J495,'17-1（所得細目表　記載例）'!$B$9:$M$29,8,0)</f>
        <v>#REF!</v>
      </c>
      <c r="I500" s="390" t="e">
        <f>VLOOKUP($J495,'17-1（所得細目表　記載例）'!$B$9:$M$29,9,0)</f>
        <v>#REF!</v>
      </c>
      <c r="J500" s="390" t="e">
        <f>VLOOKUP($J495,'17-1（所得細目表　記載例）'!$B$9:$M$29,10,0)</f>
        <v>#REF!</v>
      </c>
      <c r="K500" s="390"/>
      <c r="L500" s="390" t="e">
        <f>VLOOKUP($J495,'17-1（所得細目表　記載例）'!$B$9:$M$29,11,0)</f>
        <v>#REF!</v>
      </c>
      <c r="M500" s="390" t="e">
        <f>VLOOKUP($J495,'17-1（所得細目表　記載例）'!$B$9:$M$29,12,0)</f>
        <v>#REF!</v>
      </c>
    </row>
    <row r="502" spans="2:13">
      <c r="C502" s="1" t="s">
        <v>213</v>
      </c>
    </row>
    <row r="504" spans="2:13">
      <c r="B504" s="440"/>
      <c r="C504" s="440"/>
      <c r="D504" s="440"/>
      <c r="E504" s="440"/>
      <c r="F504" s="440"/>
      <c r="G504" s="440"/>
      <c r="H504" s="440"/>
      <c r="I504" s="440"/>
      <c r="J504" s="440"/>
      <c r="K504" s="440"/>
      <c r="L504" s="440"/>
      <c r="M504" s="440"/>
    </row>
    <row r="506" spans="2:13" ht="14.25">
      <c r="E506" s="460" t="str">
        <f>$E$2</f>
        <v>中山間地域等直接支払交付金に係る所得計算表(令和８年)</v>
      </c>
      <c r="F506" s="460"/>
      <c r="G506" s="460"/>
      <c r="H506" s="460"/>
      <c r="I506" s="460"/>
      <c r="J506" s="460"/>
    </row>
    <row r="508" spans="2:13" ht="14.25">
      <c r="H508" s="209"/>
      <c r="I508" s="209"/>
      <c r="J508" s="209"/>
    </row>
    <row r="509" spans="2:13" ht="14.25">
      <c r="F509" s="209" t="s">
        <v>39</v>
      </c>
      <c r="G509" s="446" t="e">
        <f>IF($J509="","",'17-1（所得細目表　記載例）'!$J$2)</f>
        <v>#REF!</v>
      </c>
      <c r="H509" s="450" t="s">
        <v>204</v>
      </c>
      <c r="I509" s="450"/>
      <c r="J509" s="456" t="e">
        <f>IF(#REF!="","",#REF!)</f>
        <v>#REF!</v>
      </c>
      <c r="L509" s="209" t="e">
        <f>VLOOKUP($J509,'17-1（所得細目表　記載例）'!$B$9:$M$29,2,0)</f>
        <v>#REF!</v>
      </c>
      <c r="M509" s="458" t="s">
        <v>207</v>
      </c>
    </row>
    <row r="510" spans="2:13">
      <c r="D510" s="273"/>
      <c r="K510" s="273"/>
    </row>
    <row r="511" spans="2:13">
      <c r="B511" s="437" t="s">
        <v>140</v>
      </c>
      <c r="C511" s="441" t="s">
        <v>99</v>
      </c>
      <c r="E511" s="437" t="s">
        <v>186</v>
      </c>
      <c r="F511" s="437" t="s">
        <v>187</v>
      </c>
      <c r="G511" s="447"/>
      <c r="H511" s="451"/>
      <c r="I511" s="447" t="s">
        <v>33</v>
      </c>
      <c r="J511" s="441" t="s">
        <v>60</v>
      </c>
      <c r="L511" s="437" t="s">
        <v>172</v>
      </c>
      <c r="M511" s="459"/>
    </row>
    <row r="512" spans="2:13">
      <c r="B512" s="438" t="s">
        <v>105</v>
      </c>
      <c r="C512" s="442" t="s">
        <v>3</v>
      </c>
      <c r="E512" s="438" t="s">
        <v>86</v>
      </c>
      <c r="F512" s="438" t="s">
        <v>208</v>
      </c>
      <c r="G512" s="448" t="s">
        <v>110</v>
      </c>
      <c r="H512" s="452" t="s">
        <v>210</v>
      </c>
      <c r="I512" s="455" t="s">
        <v>53</v>
      </c>
      <c r="J512" s="442" t="s">
        <v>192</v>
      </c>
      <c r="L512" s="438" t="s">
        <v>193</v>
      </c>
      <c r="M512" s="442" t="s">
        <v>189</v>
      </c>
    </row>
    <row r="513" spans="2:13">
      <c r="B513" s="439"/>
      <c r="C513" s="443" t="s">
        <v>195</v>
      </c>
      <c r="D513" s="444"/>
      <c r="E513" s="439" t="s">
        <v>196</v>
      </c>
      <c r="F513" s="439"/>
      <c r="G513" s="449" t="s">
        <v>69</v>
      </c>
      <c r="H513" s="453" t="s">
        <v>211</v>
      </c>
      <c r="I513" s="454" t="s">
        <v>199</v>
      </c>
      <c r="J513" s="443"/>
      <c r="K513" s="457"/>
      <c r="L513" s="439" t="s">
        <v>200</v>
      </c>
      <c r="M513" s="443" t="s">
        <v>201</v>
      </c>
    </row>
    <row r="514" spans="2:13" ht="30.75" customHeight="1">
      <c r="B514" s="390" t="e">
        <f>VLOOKUP($J509,'17-1（所得細目表　記載例）'!$B$9:$M$29,3,0)</f>
        <v>#REF!</v>
      </c>
      <c r="C514" s="390" t="e">
        <f>VLOOKUP($J509,'17-1（所得細目表　記載例）'!$B$9:$M$29,4,0)</f>
        <v>#REF!</v>
      </c>
      <c r="D514" s="390"/>
      <c r="E514" s="390" t="e">
        <f>VLOOKUP($J509,'17-1（所得細目表　記載例）'!$B$9:$M$29,5,0)</f>
        <v>#REF!</v>
      </c>
      <c r="F514" s="390" t="e">
        <f>VLOOKUP($J509,'17-1（所得細目表　記載例）'!$B$9:$M$29,6,0)</f>
        <v>#REF!</v>
      </c>
      <c r="G514" s="390" t="e">
        <f>VLOOKUP($J509,'17-1（所得細目表　記載例）'!$B$9:$M$29,7,0)</f>
        <v>#REF!</v>
      </c>
      <c r="H514" s="390" t="e">
        <f>VLOOKUP($J509,'17-1（所得細目表　記載例）'!$B$9:$M$29,8,0)</f>
        <v>#REF!</v>
      </c>
      <c r="I514" s="390" t="e">
        <f>VLOOKUP($J509,'17-1（所得細目表　記載例）'!$B$9:$M$29,9,0)</f>
        <v>#REF!</v>
      </c>
      <c r="J514" s="390" t="e">
        <f>VLOOKUP($J509,'17-1（所得細目表　記載例）'!$B$9:$M$29,10,0)</f>
        <v>#REF!</v>
      </c>
      <c r="K514" s="390"/>
      <c r="L514" s="390" t="e">
        <f>VLOOKUP($J509,'17-1（所得細目表　記載例）'!$B$9:$M$29,11,0)</f>
        <v>#REF!</v>
      </c>
      <c r="M514" s="390" t="e">
        <f>VLOOKUP($J509,'17-1（所得細目表　記載例）'!$B$9:$M$29,12,0)</f>
        <v>#REF!</v>
      </c>
    </row>
    <row r="516" spans="2:13">
      <c r="C516" s="1" t="s">
        <v>213</v>
      </c>
    </row>
    <row r="518" spans="2:13">
      <c r="B518" s="440"/>
      <c r="C518" s="440"/>
      <c r="D518" s="440"/>
      <c r="E518" s="440"/>
      <c r="F518" s="440"/>
      <c r="G518" s="440"/>
      <c r="H518" s="440"/>
      <c r="I518" s="440"/>
      <c r="J518" s="440"/>
      <c r="K518" s="440"/>
      <c r="L518" s="440"/>
      <c r="M518" s="440"/>
    </row>
  </sheetData>
  <mergeCells count="74">
    <mergeCell ref="E2:J2"/>
    <mergeCell ref="H5:I5"/>
    <mergeCell ref="E16:J16"/>
    <mergeCell ref="H19:I19"/>
    <mergeCell ref="E30:J30"/>
    <mergeCell ref="H33:I33"/>
    <mergeCell ref="E44:J44"/>
    <mergeCell ref="H47:I47"/>
    <mergeCell ref="E58:J58"/>
    <mergeCell ref="H61:I61"/>
    <mergeCell ref="E72:J72"/>
    <mergeCell ref="H75:I75"/>
    <mergeCell ref="E86:J86"/>
    <mergeCell ref="H89:I89"/>
    <mergeCell ref="E100:J100"/>
    <mergeCell ref="H103:I103"/>
    <mergeCell ref="E114:J114"/>
    <mergeCell ref="H117:I117"/>
    <mergeCell ref="E128:J128"/>
    <mergeCell ref="H131:I131"/>
    <mergeCell ref="E142:J142"/>
    <mergeCell ref="H145:I145"/>
    <mergeCell ref="E156:J156"/>
    <mergeCell ref="H159:I159"/>
    <mergeCell ref="E170:J170"/>
    <mergeCell ref="H173:I173"/>
    <mergeCell ref="E184:J184"/>
    <mergeCell ref="H187:I187"/>
    <mergeCell ref="E198:J198"/>
    <mergeCell ref="H201:I201"/>
    <mergeCell ref="E212:J212"/>
    <mergeCell ref="H215:I215"/>
    <mergeCell ref="E226:J226"/>
    <mergeCell ref="H229:I229"/>
    <mergeCell ref="E240:J240"/>
    <mergeCell ref="H243:I243"/>
    <mergeCell ref="E254:J254"/>
    <mergeCell ref="H257:I257"/>
    <mergeCell ref="E268:J268"/>
    <mergeCell ref="H271:I271"/>
    <mergeCell ref="E282:J282"/>
    <mergeCell ref="H285:I285"/>
    <mergeCell ref="E296:J296"/>
    <mergeCell ref="H299:I299"/>
    <mergeCell ref="E310:J310"/>
    <mergeCell ref="H313:I313"/>
    <mergeCell ref="E324:J324"/>
    <mergeCell ref="H327:I327"/>
    <mergeCell ref="E338:J338"/>
    <mergeCell ref="H341:I341"/>
    <mergeCell ref="E352:J352"/>
    <mergeCell ref="H355:I355"/>
    <mergeCell ref="E366:J366"/>
    <mergeCell ref="H369:I369"/>
    <mergeCell ref="E380:J380"/>
    <mergeCell ref="H383:I383"/>
    <mergeCell ref="E394:J394"/>
    <mergeCell ref="H397:I397"/>
    <mergeCell ref="E408:J408"/>
    <mergeCell ref="H411:I411"/>
    <mergeCell ref="E422:J422"/>
    <mergeCell ref="H425:I425"/>
    <mergeCell ref="E436:J436"/>
    <mergeCell ref="H439:I439"/>
    <mergeCell ref="E450:J450"/>
    <mergeCell ref="H453:I453"/>
    <mergeCell ref="E464:J464"/>
    <mergeCell ref="H467:I467"/>
    <mergeCell ref="E478:J478"/>
    <mergeCell ref="H481:I481"/>
    <mergeCell ref="E492:J492"/>
    <mergeCell ref="H495:I495"/>
    <mergeCell ref="E506:J506"/>
    <mergeCell ref="H509:I509"/>
  </mergeCells>
  <phoneticPr fontId="7"/>
  <pageMargins left="0.39370078740157483" right="0.39370078740157483" top="0.39370078740157483" bottom="0.27559055118110237" header="0.51181102362204722" footer="0.51181102362204722"/>
  <pageSetup paperSize="9" scale="62" fitToWidth="1" fitToHeight="1" orientation="portrait" usePrinterDefaults="1" r:id="rId1"/>
  <headerFooter alignWithMargins="0">
    <oddFooter>&amp;R&amp;A</oddFooter>
  </headerFooter>
  <rowBreaks count="1" manualBreakCount="1">
    <brk id="84"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BF87"/>
  <sheetViews>
    <sheetView view="pageBreakPreview" topLeftCell="H1" zoomScale="85" zoomScaleNormal="75" zoomScaleSheetLayoutView="85" workbookViewId="0">
      <selection activeCell="AX24" sqref="AX24:AY24"/>
    </sheetView>
  </sheetViews>
  <sheetFormatPr defaultRowHeight="14.25"/>
  <cols>
    <col min="1" max="1" width="10" style="461" hidden="1" customWidth="1"/>
    <col min="2" max="2" width="12.125" style="461" hidden="1" customWidth="1"/>
    <col min="3" max="6" width="8" style="461" hidden="1" customWidth="1"/>
    <col min="7" max="7" width="10.875" style="461" hidden="1" customWidth="1"/>
    <col min="8" max="8" width="5.5" style="462" customWidth="1"/>
    <col min="9" max="9" width="20.75" style="462" customWidth="1"/>
    <col min="10" max="10" width="4.75" style="462" customWidth="1"/>
    <col min="11" max="11" width="1.75" style="462" customWidth="1"/>
    <col min="12" max="12" width="3.875" style="462" customWidth="1"/>
    <col min="13" max="13" width="14.75" style="462" customWidth="1"/>
    <col min="14" max="14" width="4" style="462" customWidth="1"/>
    <col min="15" max="15" width="11.5" style="462" customWidth="1"/>
    <col min="16" max="16" width="2.625" style="462" customWidth="1"/>
    <col min="17" max="17" width="6" style="462" customWidth="1"/>
    <col min="18" max="18" width="13" style="462" customWidth="1"/>
    <col min="19" max="19" width="3.375" style="463" customWidth="1"/>
    <col min="20" max="20" width="18.875" style="462" customWidth="1"/>
    <col min="21" max="21" width="3.375" style="463" customWidth="1"/>
    <col min="22" max="22" width="26.25" style="462" customWidth="1"/>
    <col min="23" max="25" width="8" style="462" customWidth="1"/>
    <col min="26" max="26" width="2.875" style="461" customWidth="1"/>
    <col min="27" max="27" width="7.5" style="461" customWidth="1"/>
    <col min="28" max="28" width="17.625" style="461" customWidth="1"/>
    <col min="29" max="29" width="12.75" style="464" customWidth="1"/>
    <col min="30" max="30" width="17" style="461" customWidth="1"/>
    <col min="31" max="31" width="15.5" style="461" customWidth="1"/>
    <col min="32" max="32" width="17" style="461" customWidth="1"/>
    <col min="33" max="33" width="15.5" style="461" customWidth="1"/>
    <col min="34" max="34" width="17" style="461" customWidth="1"/>
    <col min="35" max="35" width="15.5" style="461" customWidth="1"/>
    <col min="36" max="36" width="17" style="461" customWidth="1"/>
    <col min="37" max="37" width="15.5" style="461" customWidth="1"/>
    <col min="38" max="38" width="17" style="461" customWidth="1"/>
    <col min="39" max="39" width="15.5" style="461" customWidth="1"/>
    <col min="40" max="40" width="17" style="461" customWidth="1"/>
    <col min="41" max="41" width="15.5" style="461" customWidth="1"/>
    <col min="42" max="42" width="17" style="461" customWidth="1"/>
    <col min="43" max="43" width="15.5" style="461" customWidth="1"/>
    <col min="44" max="44" width="17" style="461" customWidth="1"/>
    <col min="45" max="45" width="15.5" style="461" customWidth="1"/>
    <col min="46" max="46" width="17" style="461" customWidth="1"/>
    <col min="47" max="47" width="15.5" style="461" customWidth="1"/>
    <col min="48" max="48" width="17" style="461" customWidth="1"/>
    <col min="49" max="49" width="15.5" style="461" customWidth="1"/>
    <col min="50" max="50" width="17" style="461" customWidth="1"/>
    <col min="51" max="51" width="15.5" style="461" customWidth="1"/>
    <col min="52" max="16384" width="9" style="461" customWidth="1"/>
  </cols>
  <sheetData>
    <row r="1" spans="1:58" ht="48.75" customHeight="1">
      <c r="G1" s="461">
        <f>YEAR(VALUE("R"&amp;H1&amp;"/1/1"))</f>
        <v>2025</v>
      </c>
      <c r="H1" s="465">
        <f>'2（収支報告書)'!A9</f>
        <v>7</v>
      </c>
      <c r="I1" s="465"/>
      <c r="J1" s="465"/>
      <c r="K1" s="465"/>
      <c r="L1" s="465"/>
      <c r="M1" s="465"/>
      <c r="N1" s="465"/>
      <c r="O1" s="465"/>
      <c r="P1" s="465"/>
      <c r="Q1" s="465"/>
      <c r="R1" s="465"/>
      <c r="S1" s="465"/>
      <c r="T1" s="465"/>
      <c r="U1" s="465"/>
      <c r="V1" s="465"/>
      <c r="W1" s="465"/>
      <c r="X1" s="465"/>
      <c r="Y1" s="465"/>
      <c r="AA1" s="647" t="s">
        <v>214</v>
      </c>
      <c r="AE1" s="673"/>
      <c r="AG1" s="673"/>
      <c r="BF1" s="568" t="s">
        <v>215</v>
      </c>
    </row>
    <row r="2" spans="1:58" ht="29.25" customHeight="1">
      <c r="H2" s="466" t="s">
        <v>135</v>
      </c>
      <c r="I2" s="466"/>
      <c r="J2" s="466"/>
      <c r="K2" s="466"/>
      <c r="L2" s="466"/>
      <c r="M2" s="466"/>
      <c r="N2" s="466"/>
      <c r="O2" s="466"/>
      <c r="P2" s="466"/>
      <c r="Q2" s="466"/>
      <c r="R2" s="466"/>
      <c r="S2" s="466"/>
      <c r="T2" s="466"/>
      <c r="U2" s="466"/>
      <c r="V2" s="466"/>
      <c r="W2" s="466"/>
      <c r="X2" s="466"/>
      <c r="Y2" s="466"/>
      <c r="AA2" s="648" t="s">
        <v>106</v>
      </c>
      <c r="AB2" s="652" t="s">
        <v>216</v>
      </c>
      <c r="AC2" s="659" t="s">
        <v>218</v>
      </c>
      <c r="AD2" s="665" t="s">
        <v>205</v>
      </c>
      <c r="AE2" s="655" t="e">
        <f>VLOOKUP(1,$A$8:$O$21,2,FALSE)</f>
        <v>#N/A</v>
      </c>
      <c r="AF2" s="665" t="s">
        <v>205</v>
      </c>
      <c r="AG2" s="655" t="e">
        <f>VLOOKUP(2,$A$8:$O$21,2,FALSE)</f>
        <v>#N/A</v>
      </c>
      <c r="AH2" s="665" t="s">
        <v>205</v>
      </c>
      <c r="AI2" s="683" t="e">
        <f>VLOOKUP(3,$A$8:$O$21,2,FALSE)</f>
        <v>#N/A</v>
      </c>
      <c r="AJ2" s="665" t="s">
        <v>205</v>
      </c>
      <c r="AK2" s="683" t="e">
        <f>VLOOKUP(4,$A$8:$O$21,2,FALSE)</f>
        <v>#N/A</v>
      </c>
      <c r="AL2" s="665" t="s">
        <v>205</v>
      </c>
      <c r="AM2" s="683" t="e">
        <f>VLOOKUP(5,$A$8:$O$21,2,FALSE)</f>
        <v>#N/A</v>
      </c>
      <c r="AN2" s="665" t="s">
        <v>205</v>
      </c>
      <c r="AO2" s="683" t="e">
        <f>VLOOKUP(6,$A$8:$O$21,2,FALSE)</f>
        <v>#N/A</v>
      </c>
      <c r="AP2" s="665" t="s">
        <v>205</v>
      </c>
      <c r="AQ2" s="683" t="e">
        <f>VLOOKUP(7,$A$8:$O$21,2,FALSE)</f>
        <v>#N/A</v>
      </c>
      <c r="AR2" s="665" t="s">
        <v>205</v>
      </c>
      <c r="AS2" s="683" t="e">
        <f>VLOOKUP(8,$A$8:$O$21,2,FALSE)</f>
        <v>#N/A</v>
      </c>
      <c r="AT2" s="665" t="s">
        <v>205</v>
      </c>
      <c r="AU2" s="683" t="e">
        <f>VLOOKUP(9,$A$8:$O$21,2,FALSE)</f>
        <v>#N/A</v>
      </c>
      <c r="AV2" s="665" t="s">
        <v>205</v>
      </c>
      <c r="AW2" s="683" t="e">
        <f>VLOOKUP(10,$A$8:$O$21,2,FALSE)</f>
        <v>#N/A</v>
      </c>
      <c r="AX2" s="665" t="s">
        <v>205</v>
      </c>
      <c r="AY2" s="683" t="s">
        <v>277</v>
      </c>
    </row>
    <row r="3" spans="1:58" ht="31.5" customHeight="1">
      <c r="H3" s="466"/>
      <c r="I3" s="466"/>
      <c r="J3" s="466"/>
      <c r="K3" s="466"/>
      <c r="L3" s="466"/>
      <c r="M3" s="466"/>
      <c r="N3" s="466"/>
      <c r="X3" s="633"/>
      <c r="Y3" s="633"/>
      <c r="AA3" s="649"/>
      <c r="AB3" s="653"/>
      <c r="AC3" s="660"/>
      <c r="AD3" s="666" t="s">
        <v>90</v>
      </c>
      <c r="AE3" s="674" t="e">
        <f>VLOOKUP(1,$A$8:$O$21,9,FALSE)</f>
        <v>#N/A</v>
      </c>
      <c r="AF3" s="666" t="s">
        <v>90</v>
      </c>
      <c r="AG3" s="674" t="e">
        <f>VLOOKUP(2,$A$8:$O$21,9,FALSE)</f>
        <v>#N/A</v>
      </c>
      <c r="AH3" s="666" t="s">
        <v>90</v>
      </c>
      <c r="AI3" s="674" t="e">
        <f>VLOOKUP(3,$A$8:$O$21,9,FALSE)</f>
        <v>#N/A</v>
      </c>
      <c r="AJ3" s="666" t="s">
        <v>90</v>
      </c>
      <c r="AK3" s="674" t="e">
        <f>VLOOKUP(4,$A$8:$O$21,9,FALSE)</f>
        <v>#N/A</v>
      </c>
      <c r="AL3" s="666" t="s">
        <v>90</v>
      </c>
      <c r="AM3" s="674" t="e">
        <f>VLOOKUP(5,$A$8:$O$21,9,FALSE)</f>
        <v>#N/A</v>
      </c>
      <c r="AN3" s="666" t="s">
        <v>90</v>
      </c>
      <c r="AO3" s="674" t="e">
        <f>VLOOKUP(6,$A$8:$O$21,9,FALSE)</f>
        <v>#N/A</v>
      </c>
      <c r="AP3" s="666" t="s">
        <v>90</v>
      </c>
      <c r="AQ3" s="674" t="e">
        <f>VLOOKUP(7,$A$8:$O$21,9,FALSE)</f>
        <v>#N/A</v>
      </c>
      <c r="AR3" s="666" t="s">
        <v>90</v>
      </c>
      <c r="AS3" s="674" t="e">
        <f>VLOOKUP(8,$A$8:$O$21,9,FALSE)</f>
        <v>#N/A</v>
      </c>
      <c r="AT3" s="666" t="s">
        <v>90</v>
      </c>
      <c r="AU3" s="674" t="e">
        <f>VLOOKUP(9,$A$8:$O$21,9,FALSE)</f>
        <v>#N/A</v>
      </c>
      <c r="AV3" s="666" t="s">
        <v>90</v>
      </c>
      <c r="AW3" s="674" t="e">
        <f>VLOOKUP(10,$A$8:$O$21,7,FALSE)</f>
        <v>#N/A</v>
      </c>
      <c r="AX3" s="666" t="s">
        <v>90</v>
      </c>
      <c r="AY3" s="686" t="s">
        <v>137</v>
      </c>
    </row>
    <row r="4" spans="1:58" ht="24" customHeight="1">
      <c r="H4" s="466"/>
      <c r="I4" s="466"/>
      <c r="J4" s="466"/>
      <c r="K4" s="466"/>
      <c r="L4" s="466"/>
      <c r="M4" s="466"/>
      <c r="N4" s="466"/>
      <c r="O4" s="545" t="str">
        <f>'2-1（収支報告書　記載例）'!A1</f>
        <v>協定No.</v>
      </c>
      <c r="P4" s="545"/>
      <c r="Q4" s="545"/>
      <c r="R4" s="545"/>
      <c r="T4" s="578" t="s">
        <v>327</v>
      </c>
      <c r="U4" s="590" t="str">
        <f>IF('2-1（収支報告書　記載例）'!E6="","",'2-1（収支報告書　記載例）'!E6)</f>
        <v>〇〇〇〇</v>
      </c>
      <c r="V4" s="590"/>
      <c r="W4" s="590"/>
      <c r="X4" s="466"/>
      <c r="Y4" s="466"/>
      <c r="AA4" s="649"/>
      <c r="AB4" s="653"/>
      <c r="AC4" s="660"/>
      <c r="AD4" s="667" t="s">
        <v>80</v>
      </c>
      <c r="AE4" s="675">
        <f>SUM(AD6:AE42)</f>
        <v>0</v>
      </c>
      <c r="AF4" s="667" t="s">
        <v>80</v>
      </c>
      <c r="AG4" s="675">
        <f>SUM(AF6:AG42)</f>
        <v>0</v>
      </c>
      <c r="AH4" s="667" t="s">
        <v>80</v>
      </c>
      <c r="AI4" s="675">
        <f>SUM(AH6:AI42)</f>
        <v>0</v>
      </c>
      <c r="AJ4" s="667" t="s">
        <v>80</v>
      </c>
      <c r="AK4" s="675">
        <f>SUM(AJ6:AK42)</f>
        <v>0</v>
      </c>
      <c r="AL4" s="667" t="s">
        <v>80</v>
      </c>
      <c r="AM4" s="675">
        <f>SUM(AL6:AM42)</f>
        <v>0</v>
      </c>
      <c r="AN4" s="667" t="s">
        <v>80</v>
      </c>
      <c r="AO4" s="675">
        <f>SUM(AN6:AO42)</f>
        <v>0</v>
      </c>
      <c r="AP4" s="667" t="s">
        <v>80</v>
      </c>
      <c r="AQ4" s="675">
        <f>SUM(AP6:AQ42)</f>
        <v>0</v>
      </c>
      <c r="AR4" s="667" t="s">
        <v>80</v>
      </c>
      <c r="AS4" s="675">
        <f>SUM(AR6:AS42)</f>
        <v>0</v>
      </c>
      <c r="AT4" s="667" t="s">
        <v>80</v>
      </c>
      <c r="AU4" s="675">
        <f>SUM(AT6:AU42)</f>
        <v>0</v>
      </c>
      <c r="AV4" s="667" t="s">
        <v>80</v>
      </c>
      <c r="AW4" s="675">
        <f>SUM(AV6:AW42)</f>
        <v>0</v>
      </c>
      <c r="AX4" s="667" t="s">
        <v>80</v>
      </c>
      <c r="AY4" s="675">
        <f>SUM(AX6:AY42)</f>
        <v>0</v>
      </c>
    </row>
    <row r="5" spans="1:58" ht="24" customHeight="1">
      <c r="H5" s="466"/>
      <c r="I5" s="466"/>
      <c r="J5" s="466"/>
      <c r="K5" s="466"/>
      <c r="L5" s="466"/>
      <c r="M5" s="466"/>
      <c r="N5" s="466"/>
      <c r="O5" s="466"/>
      <c r="P5" s="466"/>
      <c r="Q5" s="466"/>
      <c r="R5" s="466"/>
      <c r="S5" s="466"/>
      <c r="T5" s="466"/>
      <c r="U5" s="466"/>
      <c r="V5" s="466"/>
      <c r="W5" s="466"/>
      <c r="X5" s="466"/>
      <c r="Y5" s="466"/>
      <c r="AA5" s="650"/>
      <c r="AB5" s="654"/>
      <c r="AC5" s="661"/>
      <c r="AD5" s="668" t="s">
        <v>122</v>
      </c>
      <c r="AE5" s="676"/>
      <c r="AF5" s="681" t="s">
        <v>122</v>
      </c>
      <c r="AG5" s="682"/>
      <c r="AH5" s="681" t="s">
        <v>122</v>
      </c>
      <c r="AI5" s="682"/>
      <c r="AJ5" s="681" t="s">
        <v>122</v>
      </c>
      <c r="AK5" s="682"/>
      <c r="AL5" s="681" t="s">
        <v>122</v>
      </c>
      <c r="AM5" s="682"/>
      <c r="AN5" s="681" t="s">
        <v>122</v>
      </c>
      <c r="AO5" s="682"/>
      <c r="AP5" s="681" t="s">
        <v>122</v>
      </c>
      <c r="AQ5" s="682"/>
      <c r="AR5" s="681" t="s">
        <v>122</v>
      </c>
      <c r="AS5" s="682"/>
      <c r="AT5" s="681" t="s">
        <v>122</v>
      </c>
      <c r="AU5" s="682"/>
      <c r="AV5" s="681" t="s">
        <v>122</v>
      </c>
      <c r="AW5" s="682"/>
      <c r="AX5" s="681" t="s">
        <v>122</v>
      </c>
      <c r="AY5" s="682"/>
    </row>
    <row r="6" spans="1:58" ht="24" customHeight="1">
      <c r="H6" s="467" t="s">
        <v>12</v>
      </c>
      <c r="P6" s="557"/>
      <c r="AA6" s="651">
        <v>1</v>
      </c>
      <c r="AB6" s="655" t="str">
        <f>IF('2（収支報告書)'!$A40="","",'2（収支報告書)'!$A40)</f>
        <v/>
      </c>
      <c r="AC6" s="662">
        <f t="shared" ref="AC6:AC42" si="0">SUM(AD6:CK6)</f>
        <v>0</v>
      </c>
      <c r="AD6" s="669"/>
      <c r="AE6" s="677"/>
      <c r="AF6" s="669"/>
      <c r="AG6" s="677"/>
      <c r="AH6" s="669"/>
      <c r="AI6" s="677"/>
      <c r="AJ6" s="684"/>
      <c r="AK6" s="685"/>
      <c r="AL6" s="684"/>
      <c r="AM6" s="685"/>
      <c r="AN6" s="684"/>
      <c r="AO6" s="685"/>
      <c r="AP6" s="684"/>
      <c r="AQ6" s="685"/>
      <c r="AR6" s="684"/>
      <c r="AS6" s="685"/>
      <c r="AT6" s="684"/>
      <c r="AU6" s="685"/>
      <c r="AV6" s="684"/>
      <c r="AW6" s="685"/>
      <c r="AX6" s="684"/>
      <c r="AY6" s="685"/>
    </row>
    <row r="7" spans="1:58" ht="23.25" customHeight="1">
      <c r="A7" s="461" t="s">
        <v>76</v>
      </c>
      <c r="B7" s="461" t="s">
        <v>205</v>
      </c>
      <c r="C7" s="461" t="s">
        <v>220</v>
      </c>
      <c r="D7" s="461" t="s">
        <v>221</v>
      </c>
      <c r="E7" s="461" t="s">
        <v>81</v>
      </c>
      <c r="F7" s="461" t="s">
        <v>81</v>
      </c>
      <c r="H7" s="468"/>
      <c r="I7" s="475" t="s">
        <v>90</v>
      </c>
      <c r="J7" s="485" t="s">
        <v>223</v>
      </c>
      <c r="K7" s="504"/>
      <c r="L7" s="475"/>
      <c r="M7" s="520" t="s">
        <v>150</v>
      </c>
      <c r="N7" s="520"/>
      <c r="O7" s="485"/>
      <c r="P7" s="558" t="s">
        <v>224</v>
      </c>
      <c r="Q7" s="520" t="s">
        <v>212</v>
      </c>
      <c r="R7" s="520"/>
      <c r="S7" s="520" t="s">
        <v>225</v>
      </c>
      <c r="T7" s="579" t="s">
        <v>227</v>
      </c>
      <c r="U7" s="591"/>
      <c r="V7" s="485" t="s">
        <v>190</v>
      </c>
      <c r="W7" s="623"/>
      <c r="X7" s="634"/>
      <c r="Y7" s="463"/>
      <c r="AA7" s="649">
        <v>2</v>
      </c>
      <c r="AB7" s="655" t="str">
        <f>IF('2（収支報告書)'!$A41="","",'2（収支報告書)'!$A41)</f>
        <v/>
      </c>
      <c r="AC7" s="663">
        <f t="shared" si="0"/>
        <v>0</v>
      </c>
      <c r="AD7" s="670"/>
      <c r="AE7" s="678"/>
      <c r="AF7" s="670"/>
      <c r="AG7" s="678"/>
      <c r="AH7" s="670"/>
      <c r="AI7" s="678"/>
      <c r="AJ7" s="671"/>
      <c r="AK7" s="679"/>
      <c r="AL7" s="671"/>
      <c r="AM7" s="679"/>
      <c r="AN7" s="671"/>
      <c r="AO7" s="679"/>
      <c r="AP7" s="671"/>
      <c r="AQ7" s="679"/>
      <c r="AR7" s="671"/>
      <c r="AS7" s="679"/>
      <c r="AT7" s="671"/>
      <c r="AU7" s="679"/>
      <c r="AV7" s="671"/>
      <c r="AW7" s="679"/>
      <c r="AX7" s="671"/>
      <c r="AY7" s="679"/>
    </row>
    <row r="8" spans="1:58" ht="23.25" customHeight="1">
      <c r="A8" s="461" t="str">
        <f>IF(ISTEXT(I8),1,"")</f>
        <v/>
      </c>
      <c r="B8" s="461" t="s">
        <v>24</v>
      </c>
      <c r="C8" s="461" t="str">
        <f>IF($U8="ⓐ",COUNTIF($U$8:U8,"ⓐ"),"")</f>
        <v/>
      </c>
      <c r="D8" s="461" t="str">
        <f>IF($U8="ⓑ",COUNTIF($U$8:V8,"ⓑ"),"")</f>
        <v/>
      </c>
      <c r="E8" s="461" t="str">
        <f>IF($U8="ⓒ",COUNTIF($U$8:W8,"ⓒ"),"")</f>
        <v/>
      </c>
      <c r="G8" s="461" t="e">
        <f>YEAR(VALUE(J8&amp;"/1/1"))</f>
        <v>#VALUE!</v>
      </c>
      <c r="H8" s="469">
        <v>1</v>
      </c>
      <c r="I8" s="476"/>
      <c r="J8" s="486"/>
      <c r="K8" s="494" t="s">
        <v>332</v>
      </c>
      <c r="L8" s="486"/>
      <c r="M8" s="521"/>
      <c r="N8" s="521"/>
      <c r="O8" s="546"/>
      <c r="P8" s="559" t="s">
        <v>224</v>
      </c>
      <c r="Q8" s="566"/>
      <c r="R8" s="566"/>
      <c r="S8" s="498" t="s">
        <v>225</v>
      </c>
      <c r="T8" s="580" t="str">
        <f>IFERROR(IF(ISBLANK(M8),"",INT(M8/Q8)),"")</f>
        <v/>
      </c>
      <c r="U8" s="592" t="str">
        <f>IF(ISNUMBER(T8),IF(AND(T8&gt;0,T8&lt;100000),"ⓐ",IF(T8&gt;=200000,"ⓒ","ⓑ")),"")</f>
        <v/>
      </c>
      <c r="V8" s="606" t="s">
        <v>228</v>
      </c>
      <c r="W8" s="624"/>
      <c r="X8" s="635"/>
      <c r="Y8" s="641"/>
      <c r="AA8" s="649">
        <v>3</v>
      </c>
      <c r="AB8" s="655" t="str">
        <f>IF('2（収支報告書)'!$A42="","",'2（収支報告書)'!$A42)</f>
        <v/>
      </c>
      <c r="AC8" s="663">
        <f t="shared" si="0"/>
        <v>0</v>
      </c>
      <c r="AD8" s="670"/>
      <c r="AE8" s="678"/>
      <c r="AF8" s="670"/>
      <c r="AG8" s="678"/>
      <c r="AH8" s="670"/>
      <c r="AI8" s="678"/>
      <c r="AJ8" s="671"/>
      <c r="AK8" s="679"/>
      <c r="AL8" s="671"/>
      <c r="AM8" s="679"/>
      <c r="AN8" s="671"/>
      <c r="AO8" s="679"/>
      <c r="AP8" s="671"/>
      <c r="AQ8" s="679"/>
      <c r="AR8" s="671"/>
      <c r="AS8" s="679"/>
      <c r="AT8" s="671"/>
      <c r="AU8" s="679"/>
      <c r="AV8" s="671"/>
      <c r="AW8" s="679"/>
      <c r="AX8" s="671"/>
      <c r="AY8" s="679"/>
    </row>
    <row r="9" spans="1:58" ht="23.25" customHeight="1">
      <c r="A9" s="461" t="str">
        <f>IF(ISTEXT(I9),1+A8,"")</f>
        <v/>
      </c>
      <c r="B9" s="461" t="s">
        <v>24</v>
      </c>
      <c r="C9" s="461" t="str">
        <f>IF($U9="ⓐ",COUNTIF($U$8:U9,"ⓐ"),"")</f>
        <v/>
      </c>
      <c r="D9" s="461" t="str">
        <f>IF($U9="ⓑ",COUNTIF($U$8:V9,"ⓑ"),"")</f>
        <v/>
      </c>
      <c r="E9" s="461" t="str">
        <f>IF($U9="ⓒ",COUNTIF($U$8:W9,"ⓒ"),"")</f>
        <v/>
      </c>
      <c r="G9" s="461" t="e">
        <f>YEAR(VALUE(J9&amp;"/1/1"))</f>
        <v>#VALUE!</v>
      </c>
      <c r="H9" s="469">
        <v>2</v>
      </c>
      <c r="I9" s="476"/>
      <c r="J9" s="487"/>
      <c r="K9" s="494" t="s">
        <v>332</v>
      </c>
      <c r="L9" s="486"/>
      <c r="M9" s="521"/>
      <c r="N9" s="521"/>
      <c r="O9" s="546"/>
      <c r="P9" s="559" t="s">
        <v>224</v>
      </c>
      <c r="Q9" s="566"/>
      <c r="R9" s="566"/>
      <c r="S9" s="498" t="s">
        <v>225</v>
      </c>
      <c r="T9" s="580" t="str">
        <f>IFERROR(IF(ISBLANK(M9),"",INT(M9/Q9)),"")</f>
        <v/>
      </c>
      <c r="U9" s="592" t="str">
        <f>IF(ISNUMBER(T9),IF(AND(T9&gt;0,T9&lt;100000),"ⓐ",IF(T9&gt;=200000,"ⓒ","ⓑ")),"")</f>
        <v/>
      </c>
      <c r="V9" s="607"/>
      <c r="W9" s="625"/>
      <c r="X9" s="635"/>
      <c r="Y9" s="461"/>
      <c r="AA9" s="649">
        <v>4</v>
      </c>
      <c r="AB9" s="655" t="str">
        <f>IF('2（収支報告書)'!$A43="","",'2（収支報告書)'!$A43)</f>
        <v/>
      </c>
      <c r="AC9" s="663">
        <f t="shared" si="0"/>
        <v>0</v>
      </c>
      <c r="AD9" s="670"/>
      <c r="AE9" s="678"/>
      <c r="AF9" s="670"/>
      <c r="AG9" s="678"/>
      <c r="AH9" s="670"/>
      <c r="AI9" s="678"/>
      <c r="AJ9" s="670"/>
      <c r="AK9" s="678"/>
      <c r="AL9" s="670"/>
      <c r="AM9" s="678"/>
      <c r="AN9" s="670"/>
      <c r="AO9" s="678"/>
      <c r="AP9" s="670"/>
      <c r="AQ9" s="678"/>
      <c r="AR9" s="670"/>
      <c r="AS9" s="678"/>
      <c r="AT9" s="670"/>
      <c r="AU9" s="678"/>
      <c r="AV9" s="670"/>
      <c r="AW9" s="678"/>
      <c r="AX9" s="670"/>
      <c r="AY9" s="678"/>
    </row>
    <row r="10" spans="1:58" ht="23.25" customHeight="1">
      <c r="A10" s="461" t="str">
        <f>IF(ISTEXT(I10),1+A9,"")</f>
        <v/>
      </c>
      <c r="B10" s="461" t="s">
        <v>24</v>
      </c>
      <c r="C10" s="461" t="str">
        <f>IF($U10="ⓐ",COUNTIF($U$8:U10,"ⓐ"),"")</f>
        <v/>
      </c>
      <c r="D10" s="461" t="str">
        <f>IF($U10="ⓑ",COUNTIF($U$8:V10,"ⓑ"),"")</f>
        <v/>
      </c>
      <c r="E10" s="461" t="str">
        <f>IF($U10="ⓒ",COUNTIF($U$8:W10,"ⓒ"),"")</f>
        <v/>
      </c>
      <c r="G10" s="461" t="e">
        <f>YEAR(VALUE(J10&amp;"/1/1"))</f>
        <v>#VALUE!</v>
      </c>
      <c r="H10" s="469">
        <v>3</v>
      </c>
      <c r="I10" s="476"/>
      <c r="J10" s="487"/>
      <c r="K10" s="494" t="s">
        <v>332</v>
      </c>
      <c r="L10" s="486"/>
      <c r="M10" s="521"/>
      <c r="N10" s="521"/>
      <c r="O10" s="546"/>
      <c r="P10" s="559" t="s">
        <v>224</v>
      </c>
      <c r="Q10" s="566"/>
      <c r="R10" s="566"/>
      <c r="S10" s="498" t="s">
        <v>225</v>
      </c>
      <c r="T10" s="580" t="str">
        <f>IFERROR(IF(ISBLANK(M10),"",INT(M10/Q10)),"")</f>
        <v/>
      </c>
      <c r="U10" s="592" t="str">
        <f>IF(ISNUMBER(T10),IF(AND(T10&gt;0,T10&lt;100000),"ⓐ",IF(T10&gt;=200000,"ⓒ","ⓑ")),"")</f>
        <v/>
      </c>
      <c r="V10" s="607"/>
      <c r="W10" s="625"/>
      <c r="X10" s="635"/>
      <c r="Y10" s="461"/>
      <c r="AA10" s="649">
        <v>5</v>
      </c>
      <c r="AB10" s="655" t="str">
        <f>IF('2（収支報告書)'!$A44="","",'2（収支報告書)'!$A44)</f>
        <v/>
      </c>
      <c r="AC10" s="663">
        <f t="shared" si="0"/>
        <v>0</v>
      </c>
      <c r="AD10" s="670"/>
      <c r="AE10" s="678"/>
      <c r="AF10" s="670"/>
      <c r="AG10" s="678"/>
      <c r="AH10" s="670"/>
      <c r="AI10" s="678"/>
      <c r="AJ10" s="670"/>
      <c r="AK10" s="678"/>
      <c r="AL10" s="670"/>
      <c r="AM10" s="678"/>
      <c r="AN10" s="670"/>
      <c r="AO10" s="678"/>
      <c r="AP10" s="670"/>
      <c r="AQ10" s="678"/>
      <c r="AR10" s="670"/>
      <c r="AS10" s="678"/>
      <c r="AT10" s="670"/>
      <c r="AU10" s="678"/>
      <c r="AV10" s="670"/>
      <c r="AW10" s="678"/>
      <c r="AX10" s="670"/>
      <c r="AY10" s="678"/>
    </row>
    <row r="11" spans="1:58" ht="23.25" customHeight="1">
      <c r="A11" s="461" t="str">
        <f>IF(ISTEXT(I11),1+A10,"")</f>
        <v/>
      </c>
      <c r="B11" s="461" t="s">
        <v>24</v>
      </c>
      <c r="C11" s="461" t="str">
        <f>IF($U11="ⓐ",COUNTIF($U$8:U11,"ⓐ"),"")</f>
        <v/>
      </c>
      <c r="D11" s="461" t="str">
        <f>IF($U11="ⓑ",COUNTIF($U$8:V11,"ⓑ"),"")</f>
        <v/>
      </c>
      <c r="E11" s="461" t="str">
        <f>IF($U11="ⓒ",COUNTIF($U$8:W11,"ⓒ"),"")</f>
        <v/>
      </c>
      <c r="G11" s="461" t="e">
        <f>YEAR(VALUE(J11&amp;"/1/1"))</f>
        <v>#VALUE!</v>
      </c>
      <c r="H11" s="469">
        <v>4</v>
      </c>
      <c r="I11" s="476"/>
      <c r="J11" s="487"/>
      <c r="K11" s="494" t="s">
        <v>332</v>
      </c>
      <c r="L11" s="486"/>
      <c r="M11" s="521"/>
      <c r="N11" s="521" t="e">
        <v>#N/A</v>
      </c>
      <c r="O11" s="546" t="e">
        <v>#N/A</v>
      </c>
      <c r="P11" s="559" t="s">
        <v>224</v>
      </c>
      <c r="Q11" s="566"/>
      <c r="R11" s="566"/>
      <c r="S11" s="498" t="s">
        <v>225</v>
      </c>
      <c r="T11" s="580" t="str">
        <f>IFERROR(IF(ISBLANK(M11),"",INT(M11/Q11)),"")</f>
        <v/>
      </c>
      <c r="U11" s="592" t="str">
        <f>IF(ISNUMBER(T11),IF(AND(T11&gt;0,T11&lt;100000),"ⓐ",IF(T11&gt;=200000,"ⓒ","ⓑ")),"")</f>
        <v/>
      </c>
      <c r="V11" s="607"/>
      <c r="W11" s="625"/>
      <c r="X11" s="635"/>
      <c r="Y11" s="461"/>
      <c r="AA11" s="649">
        <v>6</v>
      </c>
      <c r="AB11" s="655" t="str">
        <f>IF('2（収支報告書)'!$A45="","",'2（収支報告書)'!$A45)</f>
        <v/>
      </c>
      <c r="AC11" s="663">
        <f t="shared" si="0"/>
        <v>0</v>
      </c>
      <c r="AD11" s="670"/>
      <c r="AE11" s="678"/>
      <c r="AF11" s="670"/>
      <c r="AG11" s="678"/>
      <c r="AH11" s="670"/>
      <c r="AI11" s="678"/>
      <c r="AJ11" s="670"/>
      <c r="AK11" s="678"/>
      <c r="AL11" s="670"/>
      <c r="AM11" s="678"/>
      <c r="AN11" s="670"/>
      <c r="AO11" s="678"/>
      <c r="AP11" s="670"/>
      <c r="AQ11" s="678"/>
      <c r="AR11" s="670"/>
      <c r="AS11" s="678"/>
      <c r="AT11" s="670"/>
      <c r="AU11" s="678"/>
      <c r="AV11" s="670"/>
      <c r="AW11" s="678"/>
      <c r="AX11" s="670"/>
      <c r="AY11" s="678"/>
    </row>
    <row r="12" spans="1:58" ht="23.25" customHeight="1">
      <c r="A12" s="461" t="str">
        <f>IF(ISTEXT(I12),1+A11,"")</f>
        <v/>
      </c>
      <c r="B12" s="461" t="s">
        <v>24</v>
      </c>
      <c r="C12" s="461" t="str">
        <f>IF($U12="ⓐ",COUNTIF($U$8:U12,"ⓐ"),"")</f>
        <v/>
      </c>
      <c r="D12" s="461" t="str">
        <f>IF($U12="ⓑ",COUNTIF($U$8:V12,"ⓑ"),"")</f>
        <v/>
      </c>
      <c r="E12" s="461" t="str">
        <f>IF($U12="ⓒ",COUNTIF($U$8:W12,"ⓒ"),"")</f>
        <v/>
      </c>
      <c r="G12" s="461" t="e">
        <f>YEAR(VALUE(J12&amp;"/1/1"))</f>
        <v>#VALUE!</v>
      </c>
      <c r="H12" s="470">
        <v>5</v>
      </c>
      <c r="I12" s="477"/>
      <c r="J12" s="488"/>
      <c r="K12" s="495" t="s">
        <v>332</v>
      </c>
      <c r="L12" s="490"/>
      <c r="M12" s="522"/>
      <c r="N12" s="522" t="e">
        <v>#N/A</v>
      </c>
      <c r="O12" s="547" t="e">
        <v>#N/A</v>
      </c>
      <c r="P12" s="560" t="s">
        <v>224</v>
      </c>
      <c r="Q12" s="567"/>
      <c r="R12" s="567"/>
      <c r="S12" s="499" t="s">
        <v>225</v>
      </c>
      <c r="T12" s="581" t="str">
        <f>IFERROR(IF(ISBLANK(M12),"",INT(M12/Q12)),"")</f>
        <v/>
      </c>
      <c r="U12" s="593" t="str">
        <f>IF(ISNUMBER(T12),IF(AND(T12&gt;0,T12&lt;100000),"ⓐ",IF(T12&gt;=200000,"ⓒ","ⓑ")),"")</f>
        <v/>
      </c>
      <c r="V12" s="608"/>
      <c r="W12" s="626"/>
      <c r="X12" s="635"/>
      <c r="Y12" s="461"/>
      <c r="AA12" s="649">
        <v>7</v>
      </c>
      <c r="AB12" s="655" t="str">
        <f>IF('2（収支報告書)'!$A46="","",'2（収支報告書)'!$A46)</f>
        <v/>
      </c>
      <c r="AC12" s="663">
        <f t="shared" si="0"/>
        <v>0</v>
      </c>
      <c r="AD12" s="670"/>
      <c r="AE12" s="678"/>
      <c r="AF12" s="670"/>
      <c r="AG12" s="678"/>
      <c r="AH12" s="670"/>
      <c r="AI12" s="678"/>
      <c r="AJ12" s="670"/>
      <c r="AK12" s="678"/>
      <c r="AL12" s="670"/>
      <c r="AM12" s="678"/>
      <c r="AN12" s="670"/>
      <c r="AO12" s="678"/>
      <c r="AP12" s="670"/>
      <c r="AQ12" s="678"/>
      <c r="AR12" s="670"/>
      <c r="AS12" s="678"/>
      <c r="AT12" s="670"/>
      <c r="AU12" s="678"/>
      <c r="AV12" s="670"/>
      <c r="AW12" s="678"/>
      <c r="AX12" s="670"/>
      <c r="AY12" s="678"/>
    </row>
    <row r="13" spans="1:58" ht="23.25" customHeight="1">
      <c r="I13" s="478"/>
      <c r="J13" s="489"/>
      <c r="K13" s="489"/>
      <c r="L13" s="489"/>
      <c r="M13" s="523"/>
      <c r="N13" s="523"/>
      <c r="O13" s="523"/>
      <c r="P13" s="461"/>
      <c r="Q13" s="463"/>
      <c r="R13" s="463"/>
      <c r="S13" s="568"/>
      <c r="T13" s="582"/>
      <c r="U13" s="594"/>
      <c r="V13" s="461"/>
      <c r="W13" s="461"/>
      <c r="X13" s="461"/>
      <c r="Y13" s="461"/>
      <c r="AA13" s="649">
        <v>8</v>
      </c>
      <c r="AB13" s="655" t="str">
        <f>IF('2（収支報告書)'!$A47="","",'2（収支報告書)'!$A47)</f>
        <v/>
      </c>
      <c r="AC13" s="663">
        <f t="shared" si="0"/>
        <v>0</v>
      </c>
      <c r="AD13" s="670"/>
      <c r="AE13" s="678"/>
      <c r="AF13" s="670"/>
      <c r="AG13" s="678"/>
      <c r="AH13" s="670"/>
      <c r="AI13" s="678"/>
      <c r="AJ13" s="670"/>
      <c r="AK13" s="678"/>
      <c r="AL13" s="670"/>
      <c r="AM13" s="678"/>
      <c r="AN13" s="670"/>
      <c r="AO13" s="678"/>
      <c r="AP13" s="670"/>
      <c r="AQ13" s="678"/>
      <c r="AR13" s="670"/>
      <c r="AS13" s="678"/>
      <c r="AT13" s="670"/>
      <c r="AU13" s="678"/>
      <c r="AV13" s="670"/>
      <c r="AW13" s="678"/>
      <c r="AX13" s="670"/>
      <c r="AY13" s="678"/>
    </row>
    <row r="14" spans="1:58" ht="23.25" customHeight="1">
      <c r="J14" s="489"/>
      <c r="K14" s="489"/>
      <c r="L14" s="489"/>
      <c r="M14" s="523"/>
      <c r="N14" s="523"/>
      <c r="O14" s="523"/>
      <c r="P14" s="461"/>
      <c r="Q14" s="463"/>
      <c r="R14" s="463"/>
      <c r="S14" s="568"/>
      <c r="T14" s="523"/>
      <c r="U14" s="594"/>
      <c r="V14" s="609"/>
      <c r="W14" s="609"/>
      <c r="X14" s="609"/>
      <c r="Y14" s="609"/>
      <c r="AA14" s="649">
        <v>9</v>
      </c>
      <c r="AB14" s="655" t="str">
        <f>IF('2（収支報告書)'!$A48="","",'2（収支報告書)'!$A48)</f>
        <v/>
      </c>
      <c r="AC14" s="663">
        <f t="shared" si="0"/>
        <v>0</v>
      </c>
      <c r="AD14" s="670"/>
      <c r="AE14" s="678"/>
      <c r="AF14" s="670"/>
      <c r="AG14" s="678"/>
      <c r="AH14" s="670"/>
      <c r="AI14" s="678"/>
      <c r="AJ14" s="671"/>
      <c r="AK14" s="679"/>
      <c r="AL14" s="671"/>
      <c r="AM14" s="679"/>
      <c r="AN14" s="671"/>
      <c r="AO14" s="679"/>
      <c r="AP14" s="671"/>
      <c r="AQ14" s="679"/>
      <c r="AR14" s="671"/>
      <c r="AS14" s="679"/>
      <c r="AT14" s="671"/>
      <c r="AU14" s="679"/>
      <c r="AV14" s="671"/>
      <c r="AW14" s="679"/>
      <c r="AX14" s="671"/>
      <c r="AY14" s="679"/>
    </row>
    <row r="15" spans="1:58" ht="23.25" customHeight="1">
      <c r="H15" s="467" t="s">
        <v>70</v>
      </c>
      <c r="J15" s="489"/>
      <c r="K15" s="489"/>
      <c r="L15" s="489"/>
      <c r="M15" s="523"/>
      <c r="N15" s="523"/>
      <c r="O15" s="523"/>
      <c r="P15" s="461"/>
      <c r="Q15" s="463"/>
      <c r="R15" s="463"/>
      <c r="S15" s="568"/>
      <c r="T15" s="523"/>
      <c r="U15" s="594"/>
      <c r="V15" s="609"/>
      <c r="W15" s="609"/>
      <c r="X15" s="609"/>
      <c r="Y15" s="609"/>
      <c r="AA15" s="649">
        <v>10</v>
      </c>
      <c r="AB15" s="655" t="str">
        <f>IF('2（収支報告書)'!$A49="","",'2（収支報告書)'!$A49)</f>
        <v/>
      </c>
      <c r="AC15" s="663">
        <f t="shared" si="0"/>
        <v>0</v>
      </c>
      <c r="AD15" s="670"/>
      <c r="AE15" s="678"/>
      <c r="AF15" s="670"/>
      <c r="AG15" s="678"/>
      <c r="AH15" s="670"/>
      <c r="AI15" s="678"/>
      <c r="AJ15" s="671"/>
      <c r="AK15" s="679"/>
      <c r="AL15" s="671"/>
      <c r="AM15" s="679"/>
      <c r="AN15" s="671"/>
      <c r="AO15" s="679"/>
      <c r="AP15" s="671"/>
      <c r="AQ15" s="679"/>
      <c r="AR15" s="671"/>
      <c r="AS15" s="679"/>
      <c r="AT15" s="671"/>
      <c r="AU15" s="679"/>
      <c r="AV15" s="671"/>
      <c r="AW15" s="679"/>
      <c r="AX15" s="671"/>
      <c r="AY15" s="679"/>
    </row>
    <row r="16" spans="1:58" ht="23.25" customHeight="1">
      <c r="A16" s="461" t="s">
        <v>76</v>
      </c>
      <c r="B16" s="461" t="s">
        <v>205</v>
      </c>
      <c r="C16" s="461" t="s">
        <v>220</v>
      </c>
      <c r="D16" s="461" t="s">
        <v>221</v>
      </c>
      <c r="E16" s="461" t="s">
        <v>255</v>
      </c>
      <c r="F16" s="461" t="s">
        <v>121</v>
      </c>
      <c r="H16" s="468"/>
      <c r="I16" s="475" t="s">
        <v>90</v>
      </c>
      <c r="J16" s="485" t="s">
        <v>223</v>
      </c>
      <c r="K16" s="504"/>
      <c r="L16" s="475"/>
      <c r="M16" s="520" t="s">
        <v>150</v>
      </c>
      <c r="N16" s="520"/>
      <c r="O16" s="485"/>
      <c r="P16" s="558" t="s">
        <v>224</v>
      </c>
      <c r="Q16" s="520" t="s">
        <v>212</v>
      </c>
      <c r="R16" s="520"/>
      <c r="S16" s="520" t="s">
        <v>225</v>
      </c>
      <c r="T16" s="579" t="s">
        <v>28</v>
      </c>
      <c r="U16" s="591"/>
      <c r="V16" s="485" t="s">
        <v>190</v>
      </c>
      <c r="W16" s="504"/>
      <c r="X16" s="636" t="s">
        <v>133</v>
      </c>
      <c r="Y16" s="642" t="s">
        <v>88</v>
      </c>
      <c r="AA16" s="649">
        <v>11</v>
      </c>
      <c r="AB16" s="655" t="str">
        <f>IF('2（収支報告書)'!$A50="","",'2（収支報告書)'!$A50)</f>
        <v/>
      </c>
      <c r="AC16" s="663">
        <f t="shared" si="0"/>
        <v>0</v>
      </c>
      <c r="AD16" s="670"/>
      <c r="AE16" s="678"/>
      <c r="AF16" s="670"/>
      <c r="AG16" s="678"/>
      <c r="AH16" s="670"/>
      <c r="AI16" s="678"/>
      <c r="AJ16" s="671"/>
      <c r="AK16" s="679"/>
      <c r="AL16" s="671"/>
      <c r="AM16" s="679"/>
      <c r="AN16" s="671"/>
      <c r="AO16" s="679"/>
      <c r="AP16" s="671"/>
      <c r="AQ16" s="679"/>
      <c r="AR16" s="671"/>
      <c r="AS16" s="679"/>
      <c r="AT16" s="671"/>
      <c r="AU16" s="679"/>
      <c r="AV16" s="671"/>
      <c r="AW16" s="679"/>
      <c r="AX16" s="671"/>
      <c r="AY16" s="679"/>
    </row>
    <row r="17" spans="1:51" ht="23.25" customHeight="1">
      <c r="A17" s="461" t="str">
        <f>IF(ISBLANK(I17),"",1+MAX($A$8:$A$12))</f>
        <v/>
      </c>
      <c r="B17" s="461" t="s">
        <v>229</v>
      </c>
      <c r="C17" s="461" t="str">
        <f>IF($U17="ⓐ",COUNTIF($U$8:U17,"ⓐ"),"")</f>
        <v/>
      </c>
      <c r="D17" s="461" t="str">
        <f>IF($U17="ⓑ",COUNTIF($U$8:V17,"ⓑ"),"")</f>
        <v/>
      </c>
      <c r="E17" s="461" t="str">
        <f>IF(AND($U17="ⓒ",$Y17&lt;&gt;"○"),COUNTIF($U$17:U17,"ⓒ")-COUNTIF($Y$17:Y$17,"○"),"")</f>
        <v/>
      </c>
      <c r="F17" s="461" t="str">
        <f>IF(AND($U17="ⓒ",$Y17="○"),COUNTIF($Y$17:Y17,"○"),"")</f>
        <v/>
      </c>
      <c r="G17" s="461" t="e">
        <f>YEAR(VALUE(J17&amp;"/1/1"))</f>
        <v>#VALUE!</v>
      </c>
      <c r="H17" s="469">
        <v>1</v>
      </c>
      <c r="I17" s="476"/>
      <c r="J17" s="486"/>
      <c r="K17" s="494" t="s">
        <v>332</v>
      </c>
      <c r="L17" s="486"/>
      <c r="M17" s="521"/>
      <c r="N17" s="521"/>
      <c r="O17" s="546"/>
      <c r="P17" s="559" t="s">
        <v>224</v>
      </c>
      <c r="Q17" s="566"/>
      <c r="R17" s="566"/>
      <c r="S17" s="498" t="s">
        <v>225</v>
      </c>
      <c r="T17" s="580" t="str">
        <f>IF(ISBLANK(M17),"",INT(M17/Q17))</f>
        <v/>
      </c>
      <c r="U17" s="592" t="str">
        <f>IF(ISNUMBER(T17),IF(AND(T17&gt;0,T17&lt;100000),"ⓐ",IF(T17&gt;=200000,"ⓒ","ⓑ")),"")</f>
        <v/>
      </c>
      <c r="V17" s="606" t="s">
        <v>232</v>
      </c>
      <c r="W17" s="627"/>
      <c r="X17" s="637"/>
      <c r="Y17" s="643" t="str">
        <f>IFERROR(IF(U17="ⓒ",IF(G17+X17=$G$1,"○",""),""),"")</f>
        <v/>
      </c>
      <c r="AA17" s="649">
        <v>12</v>
      </c>
      <c r="AB17" s="655" t="str">
        <f>IF('2（収支報告書)'!$A51="","",'2（収支報告書)'!$A51)</f>
        <v/>
      </c>
      <c r="AC17" s="663">
        <f t="shared" si="0"/>
        <v>0</v>
      </c>
      <c r="AD17" s="670"/>
      <c r="AE17" s="678"/>
      <c r="AF17" s="670"/>
      <c r="AG17" s="678"/>
      <c r="AH17" s="670"/>
      <c r="AI17" s="678"/>
      <c r="AJ17" s="671"/>
      <c r="AK17" s="679"/>
      <c r="AL17" s="671"/>
      <c r="AM17" s="679"/>
      <c r="AN17" s="671"/>
      <c r="AO17" s="679"/>
      <c r="AP17" s="671"/>
      <c r="AQ17" s="679"/>
      <c r="AR17" s="671"/>
      <c r="AS17" s="679"/>
      <c r="AT17" s="671"/>
      <c r="AU17" s="679"/>
      <c r="AV17" s="671"/>
      <c r="AW17" s="679"/>
      <c r="AX17" s="671"/>
      <c r="AY17" s="679"/>
    </row>
    <row r="18" spans="1:51" ht="23.25" customHeight="1">
      <c r="A18" s="461" t="str">
        <f>IF(ISBLANK(I18),"",1+A17)</f>
        <v/>
      </c>
      <c r="B18" s="461" t="s">
        <v>229</v>
      </c>
      <c r="C18" s="461" t="str">
        <f>IF($U18="ⓐ",COUNTIF($U$8:U18,"ⓐ"),"")</f>
        <v/>
      </c>
      <c r="D18" s="461" t="str">
        <f>IF($U18="ⓑ",COUNTIF($U$8:V18,"ⓑ"),"")</f>
        <v/>
      </c>
      <c r="E18" s="461" t="str">
        <f>IF(AND($U18="ⓒ",$Y18&lt;&gt;"○"),COUNTIF($U$17:U18,"ⓒ")-COUNTIF($Y$17:Y17,"○"),"")</f>
        <v/>
      </c>
      <c r="F18" s="461" t="str">
        <f>IF(AND($U18="ⓒ",$Y18="○"),COUNTIF($Y$17:Y18,"○"),"")</f>
        <v/>
      </c>
      <c r="G18" s="461" t="e">
        <f>YEAR(VALUE(J18&amp;"/1/1"))</f>
        <v>#VALUE!</v>
      </c>
      <c r="H18" s="469">
        <v>2</v>
      </c>
      <c r="I18" s="476"/>
      <c r="J18" s="486"/>
      <c r="K18" s="494" t="s">
        <v>332</v>
      </c>
      <c r="L18" s="486"/>
      <c r="M18" s="521"/>
      <c r="N18" s="521"/>
      <c r="O18" s="546"/>
      <c r="P18" s="559" t="s">
        <v>224</v>
      </c>
      <c r="Q18" s="566"/>
      <c r="R18" s="566"/>
      <c r="S18" s="498" t="s">
        <v>225</v>
      </c>
      <c r="T18" s="580" t="str">
        <f>IF(ISBLANK(M18),"",INT(M18/Q18))</f>
        <v/>
      </c>
      <c r="U18" s="592" t="str">
        <f>IF(ISNUMBER(T18),IF(AND(T18&gt;0,T18&lt;100000),"ⓐ",IF(T18&gt;=200000,"ⓒ","ⓑ")),"")</f>
        <v/>
      </c>
      <c r="V18" s="607"/>
      <c r="W18" s="628"/>
      <c r="X18" s="637"/>
      <c r="Y18" s="643" t="str">
        <f>IFERROR(IF(U18="ⓒ",IF(G18+X18=$G$1,"○",""),""),"")</f>
        <v/>
      </c>
      <c r="AA18" s="649">
        <v>13</v>
      </c>
      <c r="AB18" s="655" t="str">
        <f>IF('2（収支報告書)'!$A52="","",'2（収支報告書)'!$A52)</f>
        <v/>
      </c>
      <c r="AC18" s="663">
        <f t="shared" si="0"/>
        <v>0</v>
      </c>
      <c r="AD18" s="670"/>
      <c r="AE18" s="678"/>
      <c r="AF18" s="670"/>
      <c r="AG18" s="678"/>
      <c r="AH18" s="670"/>
      <c r="AI18" s="678"/>
      <c r="AJ18" s="671"/>
      <c r="AK18" s="679"/>
      <c r="AL18" s="671"/>
      <c r="AM18" s="679"/>
      <c r="AN18" s="671"/>
      <c r="AO18" s="679"/>
      <c r="AP18" s="671"/>
      <c r="AQ18" s="679"/>
      <c r="AR18" s="671"/>
      <c r="AS18" s="679"/>
      <c r="AT18" s="671"/>
      <c r="AU18" s="679"/>
      <c r="AV18" s="671"/>
      <c r="AW18" s="679"/>
      <c r="AX18" s="671"/>
      <c r="AY18" s="679"/>
    </row>
    <row r="19" spans="1:51" ht="23.25" customHeight="1">
      <c r="A19" s="461" t="str">
        <f>IF(ISBLANK(I19),"",1+A18)</f>
        <v/>
      </c>
      <c r="B19" s="461" t="s">
        <v>229</v>
      </c>
      <c r="C19" s="461" t="str">
        <f>IF($U19="ⓐ",COUNTIF($U$8:U19,"ⓐ"),"")</f>
        <v/>
      </c>
      <c r="D19" s="461" t="str">
        <f>IF($U19="ⓑ",COUNTIF($U$8:V19,"ⓑ"),"")</f>
        <v/>
      </c>
      <c r="E19" s="461" t="str">
        <f>IF(AND($U19="ⓒ",$Y19&lt;&gt;"○"),COUNTIF($U$17:U19,"ⓒ")-COUNTIF($Y$17:Y18,"○"),"")</f>
        <v/>
      </c>
      <c r="F19" s="461" t="str">
        <f>IF(AND($U19="ⓒ",$Y19="○"),COUNTIF($Y$17:Y19,"○"),"")</f>
        <v/>
      </c>
      <c r="G19" s="461" t="e">
        <f>YEAR(VALUE(J19&amp;"/1/1"))</f>
        <v>#VALUE!</v>
      </c>
      <c r="H19" s="469">
        <v>3</v>
      </c>
      <c r="I19" s="476"/>
      <c r="J19" s="486"/>
      <c r="K19" s="494" t="s">
        <v>332</v>
      </c>
      <c r="L19" s="486"/>
      <c r="M19" s="521"/>
      <c r="N19" s="521"/>
      <c r="O19" s="546"/>
      <c r="P19" s="559" t="s">
        <v>224</v>
      </c>
      <c r="Q19" s="566"/>
      <c r="R19" s="566"/>
      <c r="S19" s="498" t="s">
        <v>225</v>
      </c>
      <c r="T19" s="580" t="str">
        <f>IF(ISBLANK(M19),"",INT(M19/Q19))</f>
        <v/>
      </c>
      <c r="U19" s="592" t="str">
        <f>IF(ISNUMBER(T19),IF(AND(T19&gt;0,T19&lt;100000),"ⓐ",IF(T19&gt;=200000,"ⓒ","ⓑ")),"")</f>
        <v/>
      </c>
      <c r="V19" s="607"/>
      <c r="W19" s="628"/>
      <c r="X19" s="637"/>
      <c r="Y19" s="643" t="str">
        <f>IFERROR(IF(U19="ⓒ",IF(G19+X19=$G$1,"○",""),""),"")</f>
        <v/>
      </c>
      <c r="AA19" s="649">
        <v>14</v>
      </c>
      <c r="AB19" s="655" t="str">
        <f>IF('2（収支報告書)'!$A53="","",'2（収支報告書)'!$A53)</f>
        <v/>
      </c>
      <c r="AC19" s="663">
        <f t="shared" si="0"/>
        <v>0</v>
      </c>
      <c r="AD19" s="670"/>
      <c r="AE19" s="678"/>
      <c r="AF19" s="670"/>
      <c r="AG19" s="678"/>
      <c r="AH19" s="670"/>
      <c r="AI19" s="678"/>
      <c r="AJ19" s="671"/>
      <c r="AK19" s="679"/>
      <c r="AL19" s="671"/>
      <c r="AM19" s="679"/>
      <c r="AN19" s="671"/>
      <c r="AO19" s="679"/>
      <c r="AP19" s="671"/>
      <c r="AQ19" s="679"/>
      <c r="AR19" s="671"/>
      <c r="AS19" s="679"/>
      <c r="AT19" s="671"/>
      <c r="AU19" s="679"/>
      <c r="AV19" s="671"/>
      <c r="AW19" s="679"/>
      <c r="AX19" s="671"/>
      <c r="AY19" s="679"/>
    </row>
    <row r="20" spans="1:51" ht="23.25" customHeight="1">
      <c r="A20" s="461" t="str">
        <f>IF(ISBLANK(I20),"",1+A19)</f>
        <v/>
      </c>
      <c r="B20" s="461" t="s">
        <v>229</v>
      </c>
      <c r="C20" s="461" t="str">
        <f>IF($U20="ⓐ",COUNTIF($U$8:U20,"ⓐ"),"")</f>
        <v/>
      </c>
      <c r="D20" s="461" t="str">
        <f>IF($U20="ⓑ",COUNTIF($U$8:V20,"ⓑ"),"")</f>
        <v/>
      </c>
      <c r="E20" s="461" t="str">
        <f>IF(AND($U20="ⓒ",$Y20&lt;&gt;"○"),COUNTIF($U$17:U20,"ⓒ")-COUNTIF($Y$17:Y19,"○"),"")</f>
        <v/>
      </c>
      <c r="F20" s="461" t="str">
        <f>IF(AND($U20="ⓒ",$Y20="○"),COUNTIF($Y$17:Y20,"○"),"")</f>
        <v/>
      </c>
      <c r="G20" s="461" t="e">
        <f>YEAR(VALUE(J20&amp;"/1/1"))</f>
        <v>#VALUE!</v>
      </c>
      <c r="H20" s="469">
        <v>4</v>
      </c>
      <c r="I20" s="476"/>
      <c r="J20" s="486"/>
      <c r="K20" s="494" t="s">
        <v>332</v>
      </c>
      <c r="L20" s="486"/>
      <c r="M20" s="521"/>
      <c r="N20" s="521"/>
      <c r="O20" s="546"/>
      <c r="P20" s="559" t="s">
        <v>224</v>
      </c>
      <c r="Q20" s="566"/>
      <c r="R20" s="566"/>
      <c r="S20" s="498" t="s">
        <v>225</v>
      </c>
      <c r="T20" s="580" t="str">
        <f>IF(ISBLANK(M20),"",INT(M20/Q20))</f>
        <v/>
      </c>
      <c r="U20" s="592" t="str">
        <f>IF(ISNUMBER(T20),IF(AND(T20&gt;0,T20&lt;100000),"ⓐ",IF(T20&gt;=200000,"ⓒ","ⓑ")),"")</f>
        <v/>
      </c>
      <c r="V20" s="607"/>
      <c r="W20" s="628"/>
      <c r="X20" s="637"/>
      <c r="Y20" s="643" t="str">
        <f>IFERROR(IF(U20="ⓒ",IF(G20+X20=$G$1,"○",""),""),"")</f>
        <v/>
      </c>
      <c r="AA20" s="649">
        <v>15</v>
      </c>
      <c r="AB20" s="655" t="str">
        <f>IF('2-1（収支報告書　記載例）'!$A54="","",'2-1（収支報告書　記載例）'!$A54)</f>
        <v/>
      </c>
      <c r="AC20" s="663">
        <f t="shared" si="0"/>
        <v>0</v>
      </c>
      <c r="AD20" s="671"/>
      <c r="AE20" s="679"/>
      <c r="AF20" s="671"/>
      <c r="AG20" s="679"/>
      <c r="AH20" s="671"/>
      <c r="AI20" s="679"/>
      <c r="AJ20" s="671"/>
      <c r="AK20" s="679"/>
      <c r="AL20" s="671"/>
      <c r="AM20" s="679"/>
      <c r="AN20" s="671"/>
      <c r="AO20" s="679"/>
      <c r="AP20" s="671"/>
      <c r="AQ20" s="679"/>
      <c r="AR20" s="671"/>
      <c r="AS20" s="679"/>
      <c r="AT20" s="671"/>
      <c r="AU20" s="679"/>
      <c r="AV20" s="671"/>
      <c r="AW20" s="679"/>
      <c r="AX20" s="671"/>
      <c r="AY20" s="679"/>
    </row>
    <row r="21" spans="1:51" ht="23.25" customHeight="1">
      <c r="A21" s="461" t="str">
        <f>IF(ISBLANK(I21),"",1+A20)</f>
        <v/>
      </c>
      <c r="B21" s="461" t="s">
        <v>229</v>
      </c>
      <c r="C21" s="461" t="str">
        <f>IF($U21="ⓐ",COUNTIF($U$8:U21,"ⓐ"),"")</f>
        <v/>
      </c>
      <c r="D21" s="461" t="str">
        <f>IF($U21="ⓑ",COUNTIF($U$8:V21,"ⓑ"),"")</f>
        <v/>
      </c>
      <c r="E21" s="461" t="str">
        <f>IF(AND($U21="ⓒ",$Y21&lt;&gt;"○"),COUNTIF($U$17:U21,"ⓒ")-COUNTIF($Y$17:Y20,"○"),"")</f>
        <v/>
      </c>
      <c r="F21" s="461" t="str">
        <f>IF(AND($U21="ⓒ",$Y21="○"),COUNTIF($Y$17:Y21,"○"),"")</f>
        <v/>
      </c>
      <c r="G21" s="461" t="e">
        <f>YEAR(VALUE(J21&amp;"/1/1"))</f>
        <v>#VALUE!</v>
      </c>
      <c r="H21" s="470">
        <v>5</v>
      </c>
      <c r="I21" s="477"/>
      <c r="J21" s="490"/>
      <c r="K21" s="495" t="s">
        <v>332</v>
      </c>
      <c r="L21" s="490"/>
      <c r="M21" s="522"/>
      <c r="N21" s="522"/>
      <c r="O21" s="547"/>
      <c r="P21" s="560" t="s">
        <v>224</v>
      </c>
      <c r="Q21" s="567"/>
      <c r="R21" s="567"/>
      <c r="S21" s="499" t="s">
        <v>225</v>
      </c>
      <c r="T21" s="581" t="str">
        <f>IF(ISBLANK(M21),"",INT(M21/Q21))</f>
        <v/>
      </c>
      <c r="U21" s="593" t="str">
        <f>IF(ISNUMBER(T21),IF(AND(T21&gt;0,T21&lt;100000),"ⓐ",IF(T21&gt;=200000,"ⓒ","ⓑ")),"")</f>
        <v/>
      </c>
      <c r="V21" s="608"/>
      <c r="W21" s="629"/>
      <c r="X21" s="638"/>
      <c r="Y21" s="644" t="str">
        <f>IFERROR(IF(U21="ⓒ",IF(G21+X21=$G$1,"○",""),""),"")</f>
        <v/>
      </c>
      <c r="AA21" s="649">
        <v>16</v>
      </c>
      <c r="AB21" s="655" t="str">
        <f>IF('2-1（収支報告書　記載例）'!$A55="","",'2-1（収支報告書　記載例）'!$A55)</f>
        <v/>
      </c>
      <c r="AC21" s="663">
        <f t="shared" si="0"/>
        <v>0</v>
      </c>
      <c r="AD21" s="671"/>
      <c r="AE21" s="679"/>
      <c r="AF21" s="671"/>
      <c r="AG21" s="679"/>
      <c r="AH21" s="671"/>
      <c r="AI21" s="679"/>
      <c r="AJ21" s="671"/>
      <c r="AK21" s="679"/>
      <c r="AL21" s="671"/>
      <c r="AM21" s="679"/>
      <c r="AN21" s="671"/>
      <c r="AO21" s="679"/>
      <c r="AP21" s="671"/>
      <c r="AQ21" s="679"/>
      <c r="AR21" s="671"/>
      <c r="AS21" s="679"/>
      <c r="AT21" s="671"/>
      <c r="AU21" s="679"/>
      <c r="AV21" s="671"/>
      <c r="AW21" s="679"/>
      <c r="AX21" s="671"/>
      <c r="AY21" s="679"/>
    </row>
    <row r="22" spans="1:51" ht="21.95" customHeight="1">
      <c r="J22" s="489"/>
      <c r="K22" s="489"/>
      <c r="L22" s="489"/>
      <c r="M22" s="523"/>
      <c r="N22" s="523"/>
      <c r="O22" s="523"/>
      <c r="P22" s="461"/>
      <c r="Q22" s="463"/>
      <c r="R22" s="463"/>
      <c r="S22" s="568"/>
      <c r="T22" s="523"/>
      <c r="U22" s="594"/>
      <c r="V22" s="609"/>
      <c r="W22" s="609"/>
      <c r="X22" s="609"/>
      <c r="Y22" s="609"/>
      <c r="AA22" s="649">
        <v>17</v>
      </c>
      <c r="AB22" s="655" t="str">
        <f>IF('2-1（収支報告書　記載例）'!$A56="","",'2-1（収支報告書　記載例）'!$A56)</f>
        <v/>
      </c>
      <c r="AC22" s="663">
        <f t="shared" si="0"/>
        <v>0</v>
      </c>
      <c r="AD22" s="671"/>
      <c r="AE22" s="679"/>
      <c r="AF22" s="671"/>
      <c r="AG22" s="679"/>
      <c r="AH22" s="671"/>
      <c r="AI22" s="679"/>
      <c r="AJ22" s="671"/>
      <c r="AK22" s="679"/>
      <c r="AL22" s="671"/>
      <c r="AM22" s="679"/>
      <c r="AN22" s="671"/>
      <c r="AO22" s="679"/>
      <c r="AP22" s="671"/>
      <c r="AQ22" s="679"/>
      <c r="AR22" s="671"/>
      <c r="AS22" s="679"/>
      <c r="AT22" s="671"/>
      <c r="AU22" s="679"/>
      <c r="AV22" s="671"/>
      <c r="AW22" s="679"/>
      <c r="AX22" s="671"/>
      <c r="AY22" s="679"/>
    </row>
    <row r="23" spans="1:51" ht="21.95" customHeight="1">
      <c r="J23" s="489"/>
      <c r="K23" s="489"/>
      <c r="L23" s="489"/>
      <c r="M23" s="523"/>
      <c r="N23" s="523"/>
      <c r="O23" s="523"/>
      <c r="P23" s="461"/>
      <c r="Q23" s="463"/>
      <c r="R23" s="463"/>
      <c r="S23" s="568"/>
      <c r="T23" s="523"/>
      <c r="U23" s="594"/>
      <c r="V23" s="609"/>
      <c r="W23" s="609"/>
      <c r="X23" s="609"/>
      <c r="Y23" s="609"/>
      <c r="AA23" s="649">
        <v>18</v>
      </c>
      <c r="AB23" s="655" t="str">
        <f>IF('2-1（収支報告書　記載例）'!$A57="","",'2-1（収支報告書　記載例）'!$A57)</f>
        <v/>
      </c>
      <c r="AC23" s="663">
        <f t="shared" si="0"/>
        <v>0</v>
      </c>
      <c r="AD23" s="671"/>
      <c r="AE23" s="679"/>
      <c r="AF23" s="671"/>
      <c r="AG23" s="679"/>
      <c r="AH23" s="671"/>
      <c r="AI23" s="679"/>
      <c r="AJ23" s="671"/>
      <c r="AK23" s="679"/>
      <c r="AL23" s="671"/>
      <c r="AM23" s="679"/>
      <c r="AN23" s="671"/>
      <c r="AO23" s="679"/>
      <c r="AP23" s="671"/>
      <c r="AQ23" s="679"/>
      <c r="AR23" s="671"/>
      <c r="AS23" s="679"/>
      <c r="AT23" s="671"/>
      <c r="AU23" s="679"/>
      <c r="AV23" s="671"/>
      <c r="AW23" s="679"/>
      <c r="AX23" s="671"/>
      <c r="AY23" s="679"/>
    </row>
    <row r="24" spans="1:51" ht="21.95" customHeight="1">
      <c r="J24" s="489"/>
      <c r="K24" s="489"/>
      <c r="L24" s="489"/>
      <c r="M24" s="523"/>
      <c r="N24" s="523"/>
      <c r="O24" s="523"/>
      <c r="P24" s="461"/>
      <c r="Q24" s="463"/>
      <c r="R24" s="463"/>
      <c r="S24" s="568"/>
      <c r="T24" s="523"/>
      <c r="U24" s="594"/>
      <c r="V24" s="609"/>
      <c r="W24" s="609"/>
      <c r="X24" s="609"/>
      <c r="Y24" s="609"/>
      <c r="AA24" s="649">
        <v>19</v>
      </c>
      <c r="AB24" s="655" t="str">
        <f>IF('2-1（収支報告書　記載例）'!$A58="","",'2-1（収支報告書　記載例）'!$A58)</f>
        <v/>
      </c>
      <c r="AC24" s="663">
        <f t="shared" si="0"/>
        <v>0</v>
      </c>
      <c r="AD24" s="671"/>
      <c r="AE24" s="679"/>
      <c r="AF24" s="671"/>
      <c r="AG24" s="679"/>
      <c r="AH24" s="671"/>
      <c r="AI24" s="679"/>
      <c r="AJ24" s="671"/>
      <c r="AK24" s="679"/>
      <c r="AL24" s="671"/>
      <c r="AM24" s="679"/>
      <c r="AN24" s="671"/>
      <c r="AO24" s="679"/>
      <c r="AP24" s="671"/>
      <c r="AQ24" s="679"/>
      <c r="AR24" s="671"/>
      <c r="AS24" s="679"/>
      <c r="AT24" s="671"/>
      <c r="AU24" s="679"/>
      <c r="AV24" s="671"/>
      <c r="AW24" s="679"/>
      <c r="AX24" s="671"/>
      <c r="AY24" s="679"/>
    </row>
    <row r="25" spans="1:51" ht="21.95" customHeight="1">
      <c r="H25" s="471" t="s">
        <v>234</v>
      </c>
      <c r="V25" s="462" t="s">
        <v>236</v>
      </c>
      <c r="AA25" s="649">
        <v>20</v>
      </c>
      <c r="AB25" s="655" t="str">
        <f>IF('2-1（収支報告書　記載例）'!$A59="","",'2-1（収支報告書　記載例）'!$A59)</f>
        <v/>
      </c>
      <c r="AC25" s="663">
        <f t="shared" si="0"/>
        <v>0</v>
      </c>
      <c r="AD25" s="671"/>
      <c r="AE25" s="679"/>
      <c r="AF25" s="671"/>
      <c r="AG25" s="679"/>
      <c r="AH25" s="671"/>
      <c r="AI25" s="679"/>
      <c r="AJ25" s="671"/>
      <c r="AK25" s="679"/>
      <c r="AL25" s="671"/>
      <c r="AM25" s="679"/>
      <c r="AN25" s="671"/>
      <c r="AO25" s="679"/>
      <c r="AP25" s="671"/>
      <c r="AQ25" s="679"/>
      <c r="AR25" s="671"/>
      <c r="AS25" s="679"/>
      <c r="AT25" s="671"/>
      <c r="AU25" s="679"/>
      <c r="AV25" s="671"/>
      <c r="AW25" s="679"/>
      <c r="AX25" s="671"/>
      <c r="AY25" s="679"/>
    </row>
    <row r="26" spans="1:51" ht="21.95" customHeight="1">
      <c r="H26" s="468"/>
      <c r="I26" s="475" t="s">
        <v>90</v>
      </c>
      <c r="J26" s="485" t="s">
        <v>223</v>
      </c>
      <c r="K26" s="504"/>
      <c r="L26" s="475"/>
      <c r="M26" s="524" t="s">
        <v>147</v>
      </c>
      <c r="N26" s="539"/>
      <c r="O26" s="548"/>
      <c r="P26" s="463"/>
      <c r="Q26" s="568"/>
      <c r="R26" s="568"/>
      <c r="S26" s="568"/>
      <c r="T26" s="463"/>
      <c r="V26" s="463"/>
      <c r="W26" s="463"/>
      <c r="X26" s="463"/>
      <c r="Y26" s="463"/>
      <c r="AA26" s="649">
        <v>21</v>
      </c>
      <c r="AB26" s="655" t="str">
        <f>IF('2-1（収支報告書　記載例）'!$A60="","",'2-1（収支報告書　記載例）'!$A60)</f>
        <v/>
      </c>
      <c r="AC26" s="663">
        <f t="shared" si="0"/>
        <v>0</v>
      </c>
      <c r="AD26" s="671"/>
      <c r="AE26" s="679"/>
      <c r="AF26" s="671"/>
      <c r="AG26" s="679"/>
      <c r="AH26" s="671"/>
      <c r="AI26" s="679"/>
      <c r="AJ26" s="671"/>
      <c r="AK26" s="679"/>
      <c r="AL26" s="671"/>
      <c r="AM26" s="679"/>
      <c r="AN26" s="671"/>
      <c r="AO26" s="679"/>
      <c r="AP26" s="671"/>
      <c r="AQ26" s="679"/>
      <c r="AR26" s="671"/>
      <c r="AS26" s="679"/>
      <c r="AT26" s="671"/>
      <c r="AU26" s="679"/>
      <c r="AV26" s="671"/>
      <c r="AW26" s="679"/>
      <c r="AX26" s="671"/>
      <c r="AY26" s="679"/>
    </row>
    <row r="27" spans="1:51" ht="21.95" customHeight="1">
      <c r="H27" s="469">
        <v>1</v>
      </c>
      <c r="I27" s="479" t="str">
        <f>IFERROR(VLOOKUP(1,$C$8:$O$21,7,FALSE),"")</f>
        <v/>
      </c>
      <c r="J27" s="491" t="str">
        <f>IFERROR(VLOOKUP(1,$C$8:$O$12,8,FALSE),"")</f>
        <v/>
      </c>
      <c r="K27" s="491" t="s">
        <v>332</v>
      </c>
      <c r="L27" s="491" t="str">
        <f>IFERROR(VLOOKUP(1,$C$8:$O$12,10,FALSE),"")</f>
        <v/>
      </c>
      <c r="M27" s="525" t="str">
        <f>IFERROR(VLOOKUP(1,$C$8:$T$12,18,FALSE),"")</f>
        <v/>
      </c>
      <c r="N27" s="525" t="e">
        <f t="shared" ref="N27:O31" si="1">VLOOKUP(1,$C$8:$O$21,5,FALSE)</f>
        <v>#N/A</v>
      </c>
      <c r="O27" s="549" t="e">
        <f t="shared" si="1"/>
        <v>#N/A</v>
      </c>
      <c r="P27" s="462"/>
      <c r="Q27" s="461"/>
      <c r="R27" s="461"/>
      <c r="S27" s="461"/>
      <c r="V27" s="610"/>
      <c r="W27" s="610"/>
      <c r="X27" s="610"/>
      <c r="Y27" s="610"/>
      <c r="AA27" s="649">
        <v>22</v>
      </c>
      <c r="AB27" s="655" t="str">
        <f>IF('2-1（収支報告書　記載例）'!$A61="","",'2-1（収支報告書　記載例）'!$A61)</f>
        <v/>
      </c>
      <c r="AC27" s="663">
        <f t="shared" si="0"/>
        <v>0</v>
      </c>
      <c r="AD27" s="671"/>
      <c r="AE27" s="679"/>
      <c r="AF27" s="671"/>
      <c r="AG27" s="679"/>
      <c r="AH27" s="671"/>
      <c r="AI27" s="679"/>
      <c r="AJ27" s="671"/>
      <c r="AK27" s="679"/>
      <c r="AL27" s="671"/>
      <c r="AM27" s="679"/>
      <c r="AN27" s="671"/>
      <c r="AO27" s="679"/>
      <c r="AP27" s="671"/>
      <c r="AQ27" s="679"/>
      <c r="AR27" s="671"/>
      <c r="AS27" s="679"/>
      <c r="AT27" s="671"/>
      <c r="AU27" s="679"/>
      <c r="AV27" s="671"/>
      <c r="AW27" s="679"/>
      <c r="AX27" s="671"/>
      <c r="AY27" s="679"/>
    </row>
    <row r="28" spans="1:51" ht="21.95" customHeight="1">
      <c r="H28" s="469">
        <v>2</v>
      </c>
      <c r="I28" s="480" t="str">
        <f>IFERROR(VLOOKUP(2,$C$8:$O$12,7,FALSE),"")</f>
        <v/>
      </c>
      <c r="J28" s="491" t="str">
        <f>IFERROR(VLOOKUP(2,$C$8:$O$12,8,FALSE),"")</f>
        <v/>
      </c>
      <c r="K28" s="491" t="s">
        <v>332</v>
      </c>
      <c r="L28" s="491" t="str">
        <f>IFERROR(VLOOKUP(2,$C$8:$O$12,10,FALSE),"")</f>
        <v/>
      </c>
      <c r="M28" s="525" t="str">
        <f>IFERROR(VLOOKUP(2,$C$8:$T$12,18,FALSE),"")</f>
        <v/>
      </c>
      <c r="N28" s="525" t="e">
        <f t="shared" si="1"/>
        <v>#N/A</v>
      </c>
      <c r="O28" s="549" t="e">
        <f t="shared" si="1"/>
        <v>#N/A</v>
      </c>
      <c r="Q28" s="461"/>
      <c r="R28" s="461"/>
      <c r="S28" s="568"/>
      <c r="V28" s="610"/>
      <c r="W28" s="610"/>
      <c r="X28" s="610"/>
      <c r="Y28" s="610"/>
      <c r="AA28" s="649">
        <v>23</v>
      </c>
      <c r="AB28" s="655" t="str">
        <f>IF('2-1（収支報告書　記載例）'!$A62="","",'2-1（収支報告書　記載例）'!$A62)</f>
        <v/>
      </c>
      <c r="AC28" s="663">
        <f t="shared" si="0"/>
        <v>0</v>
      </c>
      <c r="AD28" s="671"/>
      <c r="AE28" s="679"/>
      <c r="AF28" s="671"/>
      <c r="AG28" s="679"/>
      <c r="AH28" s="671"/>
      <c r="AI28" s="679"/>
      <c r="AJ28" s="671"/>
      <c r="AK28" s="679"/>
      <c r="AL28" s="671"/>
      <c r="AM28" s="679"/>
      <c r="AN28" s="671"/>
      <c r="AO28" s="679"/>
      <c r="AP28" s="671"/>
      <c r="AQ28" s="679"/>
      <c r="AR28" s="671"/>
      <c r="AS28" s="679"/>
      <c r="AT28" s="671"/>
      <c r="AU28" s="679"/>
      <c r="AV28" s="671"/>
      <c r="AW28" s="679"/>
      <c r="AX28" s="671"/>
      <c r="AY28" s="679"/>
    </row>
    <row r="29" spans="1:51" ht="21.95" customHeight="1">
      <c r="H29" s="469">
        <v>3</v>
      </c>
      <c r="I29" s="479" t="str">
        <f>IFERROR(VLOOKUP(3,$C$8:$O$12,7,FALSE),"")</f>
        <v/>
      </c>
      <c r="J29" s="491" t="str">
        <f>IFERROR(VLOOKUP(2,$C$8:$O$12,8,FALSE),"")</f>
        <v/>
      </c>
      <c r="K29" s="491" t="s">
        <v>332</v>
      </c>
      <c r="L29" s="491" t="str">
        <f>IFERROR(VLOOKUP(2,$C$8:$O$12,10,FALSE),"")</f>
        <v/>
      </c>
      <c r="M29" s="525" t="str">
        <f>IFERROR(VLOOKUP(3,$C$8:$T$12,18,FALSE),"")</f>
        <v/>
      </c>
      <c r="N29" s="525" t="e">
        <f t="shared" si="1"/>
        <v>#N/A</v>
      </c>
      <c r="O29" s="549" t="e">
        <f t="shared" si="1"/>
        <v>#N/A</v>
      </c>
      <c r="Q29" s="461"/>
      <c r="R29" s="461"/>
      <c r="S29" s="568"/>
      <c r="V29" s="610"/>
      <c r="W29" s="610"/>
      <c r="X29" s="610"/>
      <c r="Y29" s="610"/>
      <c r="AA29" s="649">
        <v>24</v>
      </c>
      <c r="AB29" s="655" t="str">
        <f>IF('2-1（収支報告書　記載例）'!$A63="","",'2-1（収支報告書　記載例）'!$A63)</f>
        <v/>
      </c>
      <c r="AC29" s="663">
        <f t="shared" si="0"/>
        <v>0</v>
      </c>
      <c r="AD29" s="671"/>
      <c r="AE29" s="679"/>
      <c r="AF29" s="671"/>
      <c r="AG29" s="679"/>
      <c r="AH29" s="671"/>
      <c r="AI29" s="679"/>
      <c r="AJ29" s="671"/>
      <c r="AK29" s="679"/>
      <c r="AL29" s="671"/>
      <c r="AM29" s="679"/>
      <c r="AN29" s="671"/>
      <c r="AO29" s="679"/>
      <c r="AP29" s="671"/>
      <c r="AQ29" s="679"/>
      <c r="AR29" s="671"/>
      <c r="AS29" s="679"/>
      <c r="AT29" s="671"/>
      <c r="AU29" s="679"/>
      <c r="AV29" s="671"/>
      <c r="AW29" s="679"/>
      <c r="AX29" s="671"/>
      <c r="AY29" s="679"/>
    </row>
    <row r="30" spans="1:51" ht="21.95" customHeight="1">
      <c r="H30" s="469">
        <v>4</v>
      </c>
      <c r="I30" s="479" t="str">
        <f>IFERROR(VLOOKUP(4,$C$8:$O$12,7,FALSE),"")</f>
        <v/>
      </c>
      <c r="J30" s="491" t="str">
        <f>IFERROR(VLOOKUP(2,$C$8:$O$12,8,FALSE),"")</f>
        <v/>
      </c>
      <c r="K30" s="491" t="s">
        <v>332</v>
      </c>
      <c r="L30" s="491" t="str">
        <f>IFERROR(VLOOKUP(2,$C$8:$O$12,10,FALSE),"")</f>
        <v/>
      </c>
      <c r="M30" s="525" t="str">
        <f>IFERROR(VLOOKUP(4,$C$8:$T$12,18,FALSE),"")</f>
        <v/>
      </c>
      <c r="N30" s="525" t="e">
        <f t="shared" si="1"/>
        <v>#N/A</v>
      </c>
      <c r="O30" s="549" t="e">
        <f t="shared" si="1"/>
        <v>#N/A</v>
      </c>
      <c r="Q30" s="461"/>
      <c r="R30" s="461"/>
      <c r="S30" s="568"/>
      <c r="V30" s="610"/>
      <c r="W30" s="610"/>
      <c r="X30" s="610"/>
      <c r="Y30" s="610"/>
      <c r="AA30" s="649">
        <v>25</v>
      </c>
      <c r="AB30" s="655" t="str">
        <f>IF('2-1（収支報告書　記載例）'!$A64="","",'2-1（収支報告書　記載例）'!$A64)</f>
        <v/>
      </c>
      <c r="AC30" s="663">
        <f t="shared" si="0"/>
        <v>0</v>
      </c>
      <c r="AD30" s="671"/>
      <c r="AE30" s="679"/>
      <c r="AF30" s="671"/>
      <c r="AG30" s="679"/>
      <c r="AH30" s="671"/>
      <c r="AI30" s="679"/>
      <c r="AJ30" s="671"/>
      <c r="AK30" s="679"/>
      <c r="AL30" s="671"/>
      <c r="AM30" s="679"/>
      <c r="AN30" s="671"/>
      <c r="AO30" s="679"/>
      <c r="AP30" s="671"/>
      <c r="AQ30" s="679"/>
      <c r="AR30" s="671"/>
      <c r="AS30" s="679"/>
      <c r="AT30" s="671"/>
      <c r="AU30" s="679"/>
      <c r="AV30" s="671"/>
      <c r="AW30" s="679"/>
      <c r="AX30" s="671"/>
      <c r="AY30" s="679"/>
    </row>
    <row r="31" spans="1:51" ht="21.95" customHeight="1">
      <c r="H31" s="469">
        <v>5</v>
      </c>
      <c r="I31" s="479" t="str">
        <f>IFERROR(VLOOKUP(5,$C$8:$O$12,7,FALSE),"")</f>
        <v/>
      </c>
      <c r="J31" s="491" t="str">
        <f>IFERROR(VLOOKUP(2,$C$8:$O$12,8,FALSE),"")</f>
        <v/>
      </c>
      <c r="K31" s="505" t="s">
        <v>332</v>
      </c>
      <c r="L31" s="505" t="str">
        <f>IFERROR(VLOOKUP(2,$C$8:$O$12,10,FALSE),"")</f>
        <v/>
      </c>
      <c r="M31" s="526" t="str">
        <f>IFERROR(VLOOKUP(5,$C$8:$T$12,18,FALSE),"")</f>
        <v/>
      </c>
      <c r="N31" s="540" t="e">
        <f t="shared" si="1"/>
        <v>#N/A</v>
      </c>
      <c r="O31" s="550" t="e">
        <f t="shared" si="1"/>
        <v>#N/A</v>
      </c>
      <c r="Q31" s="461"/>
      <c r="R31" s="461"/>
      <c r="S31" s="568"/>
      <c r="V31" s="610"/>
      <c r="W31" s="610"/>
      <c r="X31" s="610"/>
      <c r="Y31" s="610"/>
      <c r="AA31" s="649">
        <v>26</v>
      </c>
      <c r="AB31" s="655" t="str">
        <f>IF('2-1（収支報告書　記載例）'!$A65="","",'2-1（収支報告書　記載例）'!$A65)</f>
        <v/>
      </c>
      <c r="AC31" s="663">
        <f t="shared" si="0"/>
        <v>0</v>
      </c>
      <c r="AD31" s="671"/>
      <c r="AE31" s="679"/>
      <c r="AF31" s="671"/>
      <c r="AG31" s="679"/>
      <c r="AH31" s="671"/>
      <c r="AI31" s="679"/>
      <c r="AJ31" s="671"/>
      <c r="AK31" s="679"/>
      <c r="AL31" s="671"/>
      <c r="AM31" s="679"/>
      <c r="AN31" s="671"/>
      <c r="AO31" s="679"/>
      <c r="AP31" s="671"/>
      <c r="AQ31" s="679"/>
      <c r="AR31" s="671"/>
      <c r="AS31" s="679"/>
      <c r="AT31" s="671"/>
      <c r="AU31" s="679"/>
      <c r="AV31" s="671"/>
      <c r="AW31" s="679"/>
      <c r="AX31" s="671"/>
      <c r="AY31" s="679"/>
    </row>
    <row r="32" spans="1:51" ht="21.95" customHeight="1">
      <c r="H32" s="472" t="s">
        <v>30</v>
      </c>
      <c r="I32" s="472"/>
      <c r="J32" s="472"/>
      <c r="K32" s="472"/>
      <c r="L32" s="515"/>
      <c r="M32" s="527">
        <f>IFERROR(SUM(M27),"0")</f>
        <v>0</v>
      </c>
      <c r="N32" s="541"/>
      <c r="O32" s="551"/>
      <c r="P32" s="492"/>
      <c r="Q32" s="492"/>
      <c r="R32" s="492"/>
      <c r="S32" s="492"/>
      <c r="T32" s="528"/>
      <c r="U32" s="568"/>
      <c r="V32" s="611"/>
      <c r="W32" s="611"/>
      <c r="X32" s="611"/>
      <c r="Y32" s="611"/>
      <c r="AA32" s="649">
        <v>27</v>
      </c>
      <c r="AB32" s="655" t="str">
        <f>IF('2-1（収支報告書　記載例）'!$A66="","",'2-1（収支報告書　記載例）'!$A66)</f>
        <v/>
      </c>
      <c r="AC32" s="663">
        <f t="shared" si="0"/>
        <v>0</v>
      </c>
      <c r="AD32" s="671"/>
      <c r="AE32" s="679"/>
      <c r="AF32" s="671"/>
      <c r="AG32" s="679"/>
      <c r="AH32" s="671"/>
      <c r="AI32" s="679"/>
      <c r="AJ32" s="671"/>
      <c r="AK32" s="679"/>
      <c r="AL32" s="671"/>
      <c r="AM32" s="679"/>
      <c r="AN32" s="671"/>
      <c r="AO32" s="679"/>
      <c r="AP32" s="671"/>
      <c r="AQ32" s="679"/>
      <c r="AR32" s="671"/>
      <c r="AS32" s="679"/>
      <c r="AT32" s="671"/>
      <c r="AU32" s="679"/>
      <c r="AV32" s="671"/>
      <c r="AW32" s="679"/>
      <c r="AX32" s="671"/>
      <c r="AY32" s="679"/>
    </row>
    <row r="33" spans="8:51" ht="21.95" customHeight="1">
      <c r="I33" s="463"/>
      <c r="J33" s="492"/>
      <c r="K33" s="492"/>
      <c r="L33" s="492"/>
      <c r="M33" s="528"/>
      <c r="N33" s="528"/>
      <c r="O33" s="528"/>
      <c r="P33" s="492"/>
      <c r="Q33" s="492"/>
      <c r="R33" s="492"/>
      <c r="T33" s="528"/>
      <c r="U33" s="568"/>
      <c r="V33" s="611"/>
      <c r="W33" s="611"/>
      <c r="X33" s="611"/>
      <c r="Y33" s="611"/>
      <c r="AA33" s="649">
        <v>28</v>
      </c>
      <c r="AB33" s="655" t="str">
        <f>IF('2-1（収支報告書　記載例）'!$A67="","",'2-1（収支報告書　記載例）'!$A67)</f>
        <v/>
      </c>
      <c r="AC33" s="663">
        <f t="shared" si="0"/>
        <v>0</v>
      </c>
      <c r="AD33" s="671"/>
      <c r="AE33" s="679"/>
      <c r="AF33" s="671"/>
      <c r="AG33" s="679"/>
      <c r="AH33" s="671"/>
      <c r="AI33" s="679"/>
      <c r="AJ33" s="671"/>
      <c r="AK33" s="679"/>
      <c r="AL33" s="671"/>
      <c r="AM33" s="679"/>
      <c r="AN33" s="671"/>
      <c r="AO33" s="679"/>
      <c r="AP33" s="671"/>
      <c r="AQ33" s="679"/>
      <c r="AR33" s="671"/>
      <c r="AS33" s="679"/>
      <c r="AT33" s="671"/>
      <c r="AU33" s="679"/>
      <c r="AV33" s="671"/>
      <c r="AW33" s="679"/>
      <c r="AX33" s="671"/>
      <c r="AY33" s="679"/>
    </row>
    <row r="34" spans="8:51" ht="21.95" customHeight="1">
      <c r="P34" s="561"/>
      <c r="AA34" s="649">
        <v>29</v>
      </c>
      <c r="AB34" s="655" t="str">
        <f>IF('2-1（収支報告書　記載例）'!$A68="","",'2-1（収支報告書　記載例）'!$A68)</f>
        <v/>
      </c>
      <c r="AC34" s="663">
        <f t="shared" si="0"/>
        <v>0</v>
      </c>
      <c r="AD34" s="671"/>
      <c r="AE34" s="679"/>
      <c r="AF34" s="671"/>
      <c r="AG34" s="679"/>
      <c r="AH34" s="671"/>
      <c r="AI34" s="679"/>
      <c r="AJ34" s="671"/>
      <c r="AK34" s="679"/>
      <c r="AL34" s="671"/>
      <c r="AM34" s="679"/>
      <c r="AN34" s="671"/>
      <c r="AO34" s="679"/>
      <c r="AP34" s="671"/>
      <c r="AQ34" s="679"/>
      <c r="AR34" s="671"/>
      <c r="AS34" s="679"/>
      <c r="AT34" s="671"/>
      <c r="AU34" s="679"/>
      <c r="AV34" s="671"/>
      <c r="AW34" s="679"/>
      <c r="AX34" s="671"/>
      <c r="AY34" s="679"/>
    </row>
    <row r="35" spans="8:51" ht="21.95" customHeight="1">
      <c r="H35" s="471" t="s">
        <v>48</v>
      </c>
      <c r="AA35" s="649">
        <v>30</v>
      </c>
      <c r="AB35" s="655" t="str">
        <f>IF('2-1（収支報告書　記載例）'!$A69="","",'2-1（収支報告書　記載例）'!$A69)</f>
        <v/>
      </c>
      <c r="AC35" s="663">
        <f t="shared" si="0"/>
        <v>0</v>
      </c>
      <c r="AD35" s="671"/>
      <c r="AE35" s="679"/>
      <c r="AF35" s="671"/>
      <c r="AG35" s="679"/>
      <c r="AH35" s="671"/>
      <c r="AI35" s="679"/>
      <c r="AJ35" s="671"/>
      <c r="AK35" s="679"/>
      <c r="AL35" s="671"/>
      <c r="AM35" s="679"/>
      <c r="AN35" s="671"/>
      <c r="AO35" s="679"/>
      <c r="AP35" s="671"/>
      <c r="AQ35" s="679"/>
      <c r="AR35" s="671"/>
      <c r="AS35" s="679"/>
      <c r="AT35" s="671"/>
      <c r="AU35" s="679"/>
      <c r="AV35" s="671"/>
      <c r="AW35" s="679"/>
      <c r="AX35" s="671"/>
      <c r="AY35" s="679"/>
    </row>
    <row r="36" spans="8:51" ht="21.95" customHeight="1">
      <c r="H36" s="468"/>
      <c r="I36" s="475" t="s">
        <v>90</v>
      </c>
      <c r="J36" s="485" t="s">
        <v>223</v>
      </c>
      <c r="K36" s="504"/>
      <c r="L36" s="475"/>
      <c r="M36" s="520" t="s">
        <v>147</v>
      </c>
      <c r="N36" s="520"/>
      <c r="O36" s="485"/>
      <c r="P36" s="562" t="s">
        <v>224</v>
      </c>
      <c r="Q36" s="520" t="s">
        <v>119</v>
      </c>
      <c r="R36" s="524" t="s">
        <v>37</v>
      </c>
      <c r="S36" s="520" t="s">
        <v>74</v>
      </c>
      <c r="T36" s="520" t="s">
        <v>9</v>
      </c>
      <c r="U36" s="595" t="s">
        <v>225</v>
      </c>
      <c r="V36" s="612" t="s">
        <v>32</v>
      </c>
      <c r="W36" s="630" t="s">
        <v>237</v>
      </c>
      <c r="X36" s="504"/>
      <c r="Y36" s="623"/>
      <c r="AA36" s="649">
        <v>31</v>
      </c>
      <c r="AB36" s="655" t="str">
        <f>IF('2-1（収支報告書　記載例）'!$A70="","",'2-1（収支報告書　記載例）'!$A70)</f>
        <v/>
      </c>
      <c r="AC36" s="663">
        <f t="shared" si="0"/>
        <v>0</v>
      </c>
      <c r="AD36" s="671"/>
      <c r="AE36" s="679"/>
      <c r="AF36" s="671"/>
      <c r="AG36" s="679"/>
      <c r="AH36" s="671"/>
      <c r="AI36" s="679"/>
      <c r="AJ36" s="671"/>
      <c r="AK36" s="679"/>
      <c r="AL36" s="671"/>
      <c r="AM36" s="679"/>
      <c r="AN36" s="671"/>
      <c r="AO36" s="679"/>
      <c r="AP36" s="671"/>
      <c r="AQ36" s="679"/>
      <c r="AR36" s="671"/>
      <c r="AS36" s="679"/>
      <c r="AT36" s="671"/>
      <c r="AU36" s="679"/>
      <c r="AV36" s="671"/>
      <c r="AW36" s="679"/>
      <c r="AX36" s="671"/>
      <c r="AY36" s="679"/>
    </row>
    <row r="37" spans="8:51" ht="21.95" customHeight="1">
      <c r="H37" s="469">
        <v>1</v>
      </c>
      <c r="I37" s="479" t="str">
        <f>IFERROR(VLOOKUP(1,$D$8:$O$21,6,FALSE),"")</f>
        <v/>
      </c>
      <c r="J37" s="491" t="str">
        <f>IFERROR(VLOOKUP(1,$D$8:$O$21,7,FALSE),"")</f>
        <v/>
      </c>
      <c r="K37" s="491" t="s">
        <v>332</v>
      </c>
      <c r="L37" s="516" t="str">
        <f>IFERROR(VLOOKUP(1,$D$8:$O$21,9,FALSE),"")</f>
        <v/>
      </c>
      <c r="M37" s="525" t="str">
        <f>IFERROR(VLOOKUP(1,$D$8:$T$21,17,FALSE),"")</f>
        <v/>
      </c>
      <c r="N37" s="525" t="e">
        <f t="shared" ref="N37:O41" si="2">VLOOKUP(1,$C$8:$O$21,5,FALSE)</f>
        <v>#N/A</v>
      </c>
      <c r="O37" s="525" t="e">
        <f t="shared" si="2"/>
        <v>#N/A</v>
      </c>
      <c r="P37" s="563" t="s">
        <v>224</v>
      </c>
      <c r="Q37" s="569" t="s">
        <v>119</v>
      </c>
      <c r="R37" s="574" t="str">
        <f>IFERROR(IF(ISBLANK(M37),"",INT(M37/3)),"")</f>
        <v/>
      </c>
      <c r="S37" s="498" t="s">
        <v>74</v>
      </c>
      <c r="T37" s="583"/>
      <c r="U37" s="596" t="s">
        <v>225</v>
      </c>
      <c r="V37" s="536" t="str">
        <f>IFERROR(IF(ISBLANK(M37),"",INT(R37*T37/100)),"")</f>
        <v/>
      </c>
      <c r="W37" s="631"/>
      <c r="X37" s="639" t="s">
        <v>239</v>
      </c>
      <c r="Y37" s="645"/>
      <c r="AA37" s="649">
        <v>32</v>
      </c>
      <c r="AB37" s="655" t="str">
        <f>IF('2-1（収支報告書　記載例）'!$A71="","",'2-1（収支報告書　記載例）'!$A71)</f>
        <v/>
      </c>
      <c r="AC37" s="663">
        <f t="shared" si="0"/>
        <v>0</v>
      </c>
      <c r="AD37" s="671"/>
      <c r="AE37" s="679"/>
      <c r="AF37" s="671"/>
      <c r="AG37" s="679"/>
      <c r="AH37" s="671"/>
      <c r="AI37" s="679"/>
      <c r="AJ37" s="671"/>
      <c r="AK37" s="679"/>
      <c r="AL37" s="671"/>
      <c r="AM37" s="679"/>
      <c r="AN37" s="671"/>
      <c r="AO37" s="679"/>
      <c r="AP37" s="671"/>
      <c r="AQ37" s="679"/>
      <c r="AR37" s="671"/>
      <c r="AS37" s="679"/>
      <c r="AT37" s="671"/>
      <c r="AU37" s="679"/>
      <c r="AV37" s="671"/>
      <c r="AW37" s="679"/>
      <c r="AX37" s="671"/>
      <c r="AY37" s="679"/>
    </row>
    <row r="38" spans="8:51" ht="21.95" customHeight="1">
      <c r="H38" s="469">
        <v>2</v>
      </c>
      <c r="I38" s="480" t="str">
        <f>IFERROR(VLOOKUP(2,$D$8:$O$21,6,FALSE),"")</f>
        <v/>
      </c>
      <c r="J38" s="491" t="str">
        <f>IFERROR(VLOOKUP(2,$D$8:$O$21,7,FALSE),"")</f>
        <v/>
      </c>
      <c r="K38" s="491" t="s">
        <v>332</v>
      </c>
      <c r="L38" s="516" t="str">
        <f>IFERROR(VLOOKUP(2,$D$8:$O$21,9,FALSE),"")</f>
        <v/>
      </c>
      <c r="M38" s="525" t="str">
        <f>IFERROR(VLOOKUP(2,$D$8:$T$21,17,FALSE),"")</f>
        <v/>
      </c>
      <c r="N38" s="525" t="e">
        <f t="shared" si="2"/>
        <v>#N/A</v>
      </c>
      <c r="O38" s="525" t="e">
        <f t="shared" si="2"/>
        <v>#N/A</v>
      </c>
      <c r="P38" s="563" t="s">
        <v>224</v>
      </c>
      <c r="Q38" s="569" t="s">
        <v>119</v>
      </c>
      <c r="R38" s="574" t="str">
        <f>IFERROR(IF(ISBLANK(M38),"",INT(M38/3)),"")</f>
        <v/>
      </c>
      <c r="S38" s="498" t="s">
        <v>74</v>
      </c>
      <c r="T38" s="583"/>
      <c r="U38" s="596" t="s">
        <v>225</v>
      </c>
      <c r="V38" s="536" t="str">
        <f>IFERROR(IF(ISBLANK(M38),"",INT(R38*T38/100)),"")</f>
        <v/>
      </c>
      <c r="W38" s="631"/>
      <c r="X38" s="639" t="s">
        <v>239</v>
      </c>
      <c r="Y38" s="645"/>
      <c r="AA38" s="649">
        <v>33</v>
      </c>
      <c r="AB38" s="655" t="str">
        <f>IF('2-1（収支報告書　記載例）'!$A72="","",'2-1（収支報告書　記載例）'!$A72)</f>
        <v/>
      </c>
      <c r="AC38" s="663">
        <f t="shared" si="0"/>
        <v>0</v>
      </c>
      <c r="AD38" s="671"/>
      <c r="AE38" s="679"/>
      <c r="AF38" s="671"/>
      <c r="AG38" s="679"/>
      <c r="AH38" s="671"/>
      <c r="AI38" s="679"/>
      <c r="AJ38" s="671"/>
      <c r="AK38" s="679"/>
      <c r="AL38" s="671"/>
      <c r="AM38" s="679"/>
      <c r="AN38" s="671"/>
      <c r="AO38" s="679"/>
      <c r="AP38" s="671"/>
      <c r="AQ38" s="679"/>
      <c r="AR38" s="671"/>
      <c r="AS38" s="679"/>
      <c r="AT38" s="671"/>
      <c r="AU38" s="679"/>
      <c r="AV38" s="671"/>
      <c r="AW38" s="679"/>
      <c r="AX38" s="671"/>
      <c r="AY38" s="679"/>
    </row>
    <row r="39" spans="8:51" ht="21.95" customHeight="1">
      <c r="H39" s="469">
        <v>3</v>
      </c>
      <c r="I39" s="479" t="str">
        <f>IFERROR(VLOOKUP(3,$D$8:$O$21,6,FALSE),"")</f>
        <v/>
      </c>
      <c r="J39" s="491" t="str">
        <f>IFERROR(VLOOKUP(3,$D$8:$O$21,7,FALSE),"")</f>
        <v/>
      </c>
      <c r="K39" s="491" t="s">
        <v>332</v>
      </c>
      <c r="L39" s="516" t="str">
        <f>IFERROR(VLOOKUP(3,$D$8:$O$21,9,FALSE),"")</f>
        <v/>
      </c>
      <c r="M39" s="525" t="str">
        <f>IFERROR(VLOOKUP(3,$D$8:$T$21,17,FALSE),"")</f>
        <v/>
      </c>
      <c r="N39" s="525" t="e">
        <f t="shared" si="2"/>
        <v>#N/A</v>
      </c>
      <c r="O39" s="525" t="e">
        <f t="shared" si="2"/>
        <v>#N/A</v>
      </c>
      <c r="P39" s="563" t="s">
        <v>224</v>
      </c>
      <c r="Q39" s="569" t="s">
        <v>119</v>
      </c>
      <c r="R39" s="574" t="str">
        <f>IFERROR(IF(ISBLANK(M39),"",INT(M39/3)),"")</f>
        <v/>
      </c>
      <c r="S39" s="498" t="s">
        <v>74</v>
      </c>
      <c r="T39" s="583"/>
      <c r="U39" s="596" t="s">
        <v>225</v>
      </c>
      <c r="V39" s="536" t="str">
        <f>IFERROR(IF(ISBLANK(M39),"",INT(R39*T39/100)),"")</f>
        <v/>
      </c>
      <c r="W39" s="631"/>
      <c r="X39" s="639" t="s">
        <v>239</v>
      </c>
      <c r="Y39" s="645"/>
      <c r="AA39" s="649">
        <v>34</v>
      </c>
      <c r="AB39" s="655" t="str">
        <f>IF('2-1（収支報告書　記載例）'!$A73="","",'2-1（収支報告書　記載例）'!$A73)</f>
        <v/>
      </c>
      <c r="AC39" s="663">
        <f t="shared" si="0"/>
        <v>0</v>
      </c>
      <c r="AD39" s="671"/>
      <c r="AE39" s="679"/>
      <c r="AF39" s="671"/>
      <c r="AG39" s="679"/>
      <c r="AH39" s="671"/>
      <c r="AI39" s="679"/>
      <c r="AJ39" s="671"/>
      <c r="AK39" s="679"/>
      <c r="AL39" s="671"/>
      <c r="AM39" s="679"/>
      <c r="AN39" s="671"/>
      <c r="AO39" s="679"/>
      <c r="AP39" s="671"/>
      <c r="AQ39" s="679"/>
      <c r="AR39" s="671"/>
      <c r="AS39" s="679"/>
      <c r="AT39" s="671"/>
      <c r="AU39" s="679"/>
      <c r="AV39" s="671"/>
      <c r="AW39" s="679"/>
      <c r="AX39" s="671"/>
      <c r="AY39" s="679"/>
    </row>
    <row r="40" spans="8:51" ht="21.95" customHeight="1">
      <c r="H40" s="469">
        <v>4</v>
      </c>
      <c r="I40" s="479" t="str">
        <f>IFERROR(VLOOKUP(4,$D$8:$O$21,6,FALSE),"")</f>
        <v/>
      </c>
      <c r="J40" s="491" t="str">
        <f>IFERROR(VLOOKUP(4,$D$8:$O$21,7,FALSE),"")</f>
        <v/>
      </c>
      <c r="K40" s="491" t="s">
        <v>332</v>
      </c>
      <c r="L40" s="516" t="str">
        <f>IFERROR(VLOOKUP(4,$D$8:$O$21,9,FALSE),"")</f>
        <v/>
      </c>
      <c r="M40" s="525" t="str">
        <f>IFERROR(VLOOKUP(4,$D$8:$T$21,17,FALSE),"")</f>
        <v/>
      </c>
      <c r="N40" s="525" t="e">
        <f t="shared" si="2"/>
        <v>#N/A</v>
      </c>
      <c r="O40" s="525" t="e">
        <f t="shared" si="2"/>
        <v>#N/A</v>
      </c>
      <c r="P40" s="563" t="s">
        <v>224</v>
      </c>
      <c r="Q40" s="569" t="s">
        <v>119</v>
      </c>
      <c r="R40" s="574" t="str">
        <f>IFERROR(IF(ISBLANK(M40),"",INT(M40/3)),"")</f>
        <v/>
      </c>
      <c r="S40" s="498" t="s">
        <v>74</v>
      </c>
      <c r="T40" s="583"/>
      <c r="U40" s="596" t="s">
        <v>225</v>
      </c>
      <c r="V40" s="536" t="str">
        <f>IFERROR(IF(ISBLANK(M40),"",INT(R40*T40/100)),"")</f>
        <v/>
      </c>
      <c r="W40" s="631"/>
      <c r="X40" s="639" t="s">
        <v>239</v>
      </c>
      <c r="Y40" s="645"/>
      <c r="AA40" s="649">
        <v>35</v>
      </c>
      <c r="AB40" s="655" t="str">
        <f>IF('2-1（収支報告書　記載例）'!$A74="","",'2-1（収支報告書　記載例）'!$A74)</f>
        <v/>
      </c>
      <c r="AC40" s="663">
        <f t="shared" si="0"/>
        <v>0</v>
      </c>
      <c r="AD40" s="671"/>
      <c r="AE40" s="679"/>
      <c r="AF40" s="671"/>
      <c r="AG40" s="679"/>
      <c r="AH40" s="671"/>
      <c r="AI40" s="679"/>
      <c r="AJ40" s="671"/>
      <c r="AK40" s="679"/>
      <c r="AL40" s="671"/>
      <c r="AM40" s="679"/>
      <c r="AN40" s="671"/>
      <c r="AO40" s="679"/>
      <c r="AP40" s="671"/>
      <c r="AQ40" s="679"/>
      <c r="AR40" s="671"/>
      <c r="AS40" s="679"/>
      <c r="AT40" s="671"/>
      <c r="AU40" s="679"/>
      <c r="AV40" s="671"/>
      <c r="AW40" s="679"/>
      <c r="AX40" s="671"/>
      <c r="AY40" s="679"/>
    </row>
    <row r="41" spans="8:51" ht="21.95" customHeight="1">
      <c r="H41" s="469">
        <v>5</v>
      </c>
      <c r="I41" s="479" t="str">
        <f>IFERROR(VLOOKUP(5,$D$8:$O$21,6,FALSE),"")</f>
        <v/>
      </c>
      <c r="J41" s="491" t="str">
        <f>IFERROR(VLOOKUP(5,$D$8:$O$21,7,FALSE),"")</f>
        <v/>
      </c>
      <c r="K41" s="491" t="s">
        <v>332</v>
      </c>
      <c r="L41" s="494" t="str">
        <f>IFERROR(VLOOKUP(5,$D$8:$O$21,9,FALSE),"")</f>
        <v/>
      </c>
      <c r="M41" s="525" t="str">
        <f>IFERROR(VLOOKUP(5,$D$8:$T$21,17,FALSE),"")</f>
        <v/>
      </c>
      <c r="N41" s="525" t="e">
        <f t="shared" si="2"/>
        <v>#N/A</v>
      </c>
      <c r="O41" s="525" t="e">
        <f t="shared" si="2"/>
        <v>#N/A</v>
      </c>
      <c r="P41" s="564" t="s">
        <v>224</v>
      </c>
      <c r="Q41" s="570" t="s">
        <v>119</v>
      </c>
      <c r="R41" s="574" t="str">
        <f>IFERROR(IF(ISBLANK(M41),"",INT(M41/3)),"")</f>
        <v/>
      </c>
      <c r="S41" s="499" t="s">
        <v>74</v>
      </c>
      <c r="T41" s="583"/>
      <c r="U41" s="597" t="s">
        <v>225</v>
      </c>
      <c r="V41" s="536" t="str">
        <f>IFERROR(IF(ISBLANK(M41),"",INT(R41*T41/100)),"")</f>
        <v/>
      </c>
      <c r="W41" s="632"/>
      <c r="X41" s="640" t="s">
        <v>239</v>
      </c>
      <c r="Y41" s="646"/>
      <c r="AA41" s="649">
        <v>36</v>
      </c>
      <c r="AB41" s="655" t="str">
        <f>IF('2-1（収支報告書　記載例）'!$A75="","",'2-1（収支報告書　記載例）'!$A75)</f>
        <v/>
      </c>
      <c r="AC41" s="663">
        <f t="shared" si="0"/>
        <v>0</v>
      </c>
      <c r="AD41" s="671"/>
      <c r="AE41" s="679"/>
      <c r="AF41" s="671"/>
      <c r="AG41" s="679"/>
      <c r="AH41" s="671"/>
      <c r="AI41" s="679"/>
      <c r="AJ41" s="671"/>
      <c r="AK41" s="679"/>
      <c r="AL41" s="671"/>
      <c r="AM41" s="679"/>
      <c r="AN41" s="671"/>
      <c r="AO41" s="679"/>
      <c r="AP41" s="671"/>
      <c r="AQ41" s="679"/>
      <c r="AR41" s="671"/>
      <c r="AS41" s="679"/>
      <c r="AT41" s="671"/>
      <c r="AU41" s="679"/>
      <c r="AV41" s="671"/>
      <c r="AW41" s="679"/>
      <c r="AX41" s="671"/>
      <c r="AY41" s="679"/>
    </row>
    <row r="42" spans="8:51" ht="21.95" customHeight="1">
      <c r="H42" s="473"/>
      <c r="I42" s="481"/>
      <c r="J42" s="473"/>
      <c r="K42" s="473"/>
      <c r="L42" s="473"/>
      <c r="M42" s="473"/>
      <c r="N42" s="473"/>
      <c r="O42" s="473"/>
      <c r="P42" s="565"/>
      <c r="Q42" s="472" t="s">
        <v>30</v>
      </c>
      <c r="R42" s="472"/>
      <c r="S42" s="472"/>
      <c r="T42" s="472"/>
      <c r="U42" s="598"/>
      <c r="V42" s="613">
        <f>SUM(V37:V41)</f>
        <v>0</v>
      </c>
      <c r="W42" s="611"/>
      <c r="X42" s="611"/>
      <c r="Y42" s="611"/>
      <c r="AA42" s="650">
        <v>37</v>
      </c>
      <c r="AB42" s="656" t="str">
        <f>IF('2-1（収支報告書　記載例）'!$A76="","",'2-1（収支報告書　記載例）'!$A76)</f>
        <v/>
      </c>
      <c r="AC42" s="664">
        <f t="shared" si="0"/>
        <v>0</v>
      </c>
      <c r="AD42" s="672"/>
      <c r="AE42" s="680"/>
      <c r="AF42" s="672"/>
      <c r="AG42" s="680"/>
      <c r="AH42" s="672"/>
      <c r="AI42" s="680"/>
      <c r="AJ42" s="672"/>
      <c r="AK42" s="680"/>
      <c r="AL42" s="672"/>
      <c r="AM42" s="680"/>
      <c r="AN42" s="672"/>
      <c r="AO42" s="680"/>
      <c r="AP42" s="672"/>
      <c r="AQ42" s="680"/>
      <c r="AR42" s="672"/>
      <c r="AS42" s="680"/>
      <c r="AT42" s="672"/>
      <c r="AU42" s="680"/>
      <c r="AV42" s="672"/>
      <c r="AW42" s="680"/>
      <c r="AX42" s="672"/>
      <c r="AY42" s="680"/>
    </row>
    <row r="43" spans="8:51" ht="21.95" customHeight="1"/>
    <row r="44" spans="8:51" ht="21.95" customHeight="1">
      <c r="H44" s="471" t="s">
        <v>241</v>
      </c>
    </row>
    <row r="45" spans="8:51" ht="21.95" customHeight="1">
      <c r="H45" s="468"/>
      <c r="I45" s="475" t="s">
        <v>90</v>
      </c>
      <c r="J45" s="485" t="s">
        <v>7</v>
      </c>
      <c r="K45" s="504"/>
      <c r="L45" s="475"/>
      <c r="M45" s="524" t="s">
        <v>242</v>
      </c>
      <c r="N45" s="520" t="s">
        <v>74</v>
      </c>
      <c r="O45" s="475" t="s">
        <v>244</v>
      </c>
      <c r="P45" s="520" t="s">
        <v>74</v>
      </c>
      <c r="Q45" s="485" t="s">
        <v>202</v>
      </c>
      <c r="R45" s="517"/>
      <c r="S45" s="520" t="s">
        <v>74</v>
      </c>
      <c r="T45" s="584" t="s">
        <v>136</v>
      </c>
      <c r="U45" s="599" t="s">
        <v>225</v>
      </c>
      <c r="V45" s="614" t="s">
        <v>32</v>
      </c>
      <c r="W45" s="630" t="s">
        <v>237</v>
      </c>
      <c r="X45" s="504"/>
      <c r="Y45" s="623"/>
    </row>
    <row r="46" spans="8:51" ht="21.95" customHeight="1">
      <c r="H46" s="474">
        <v>1</v>
      </c>
      <c r="I46" s="482" t="str">
        <f>IFERROR(VLOOKUP(1,$E$8:$T$12,5,FALSE),"")</f>
        <v/>
      </c>
      <c r="J46" s="493" t="str">
        <f>IFERROR(VLOOKUP(1,$E$8:$T$12,6,FALSE),"")</f>
        <v/>
      </c>
      <c r="K46" s="506" t="s">
        <v>332</v>
      </c>
      <c r="L46" s="506" t="str">
        <f>IFERROR(VLOOKUP(1,$E$8:$T$12,8,FALSE),"")</f>
        <v/>
      </c>
      <c r="M46" s="529" t="str">
        <f>IFERROR(VLOOKUP(1,$E$8:$T$12,16,FALSE),"")</f>
        <v/>
      </c>
      <c r="N46" s="498" t="s">
        <v>74</v>
      </c>
      <c r="O46" s="552"/>
      <c r="P46" s="498" t="s">
        <v>74</v>
      </c>
      <c r="Q46" s="571"/>
      <c r="R46" s="575" t="s">
        <v>63</v>
      </c>
      <c r="S46" s="498" t="s">
        <v>74</v>
      </c>
      <c r="T46" s="585"/>
      <c r="U46" s="600" t="s">
        <v>225</v>
      </c>
      <c r="V46" s="536" t="str">
        <f>IFERROR(IF(ISBLANK(M46),"",INT(M46*O46*(Q46/12)*(T46/100))),"")</f>
        <v/>
      </c>
      <c r="W46" s="631"/>
      <c r="X46" s="639" t="s">
        <v>239</v>
      </c>
      <c r="Y46" s="645"/>
    </row>
    <row r="47" spans="8:51" ht="21.95" customHeight="1">
      <c r="H47" s="474">
        <v>2</v>
      </c>
      <c r="I47" s="482" t="str">
        <f>IFERROR(VLOOKUP(2,$E$8:$T$12,5,FALSE),"")</f>
        <v/>
      </c>
      <c r="J47" s="494" t="str">
        <f>IFERROR(VLOOKUP(2,$E$8:$T$12,6,FALSE),"")</f>
        <v/>
      </c>
      <c r="K47" s="507" t="s">
        <v>332</v>
      </c>
      <c r="L47" s="507" t="str">
        <f>IFERROR(VLOOKUP(2,$E$8:$T$12,8,FALSE),"")</f>
        <v/>
      </c>
      <c r="M47" s="529" t="str">
        <f>IFERROR(VLOOKUP(2,$E$8:$T$12,16,FALSE),"")</f>
        <v/>
      </c>
      <c r="N47" s="498" t="s">
        <v>74</v>
      </c>
      <c r="O47" s="552"/>
      <c r="P47" s="498" t="s">
        <v>74</v>
      </c>
      <c r="Q47" s="571"/>
      <c r="R47" s="575" t="s">
        <v>63</v>
      </c>
      <c r="S47" s="498" t="s">
        <v>74</v>
      </c>
      <c r="T47" s="585"/>
      <c r="U47" s="600" t="s">
        <v>225</v>
      </c>
      <c r="V47" s="536" t="str">
        <f>IFERROR(IF(ISBLANK(M47),"",INT(M47*O47*(Q47/12)*(T47/100))),"")</f>
        <v/>
      </c>
      <c r="W47" s="631"/>
      <c r="X47" s="639" t="s">
        <v>239</v>
      </c>
      <c r="Y47" s="645"/>
      <c r="AB47" s="657" t="s">
        <v>222</v>
      </c>
    </row>
    <row r="48" spans="8:51" ht="21.95" customHeight="1">
      <c r="H48" s="474">
        <v>3</v>
      </c>
      <c r="I48" s="482" t="str">
        <f>IFERROR(VLOOKUP(3,$E$8:$T$12,5,FALSE),"")</f>
        <v/>
      </c>
      <c r="J48" s="494" t="str">
        <f>IFERROR(VLOOKUP(3,$E$8:$T$12,6,FALSE),"")</f>
        <v/>
      </c>
      <c r="K48" s="507" t="s">
        <v>332</v>
      </c>
      <c r="L48" s="507" t="str">
        <f>IFERROR(VLOOKUP(3,$E$8:$T$12,8,FALSE),"")</f>
        <v/>
      </c>
      <c r="M48" s="529" t="str">
        <f>IFERROR(VLOOKUP(3,$E$8:$T$12,16,FALSE),"")</f>
        <v/>
      </c>
      <c r="N48" s="498" t="s">
        <v>74</v>
      </c>
      <c r="O48" s="552"/>
      <c r="P48" s="498" t="s">
        <v>74</v>
      </c>
      <c r="Q48" s="571"/>
      <c r="R48" s="575" t="s">
        <v>63</v>
      </c>
      <c r="S48" s="498" t="s">
        <v>74</v>
      </c>
      <c r="T48" s="585"/>
      <c r="U48" s="600" t="s">
        <v>225</v>
      </c>
      <c r="V48" s="536" t="str">
        <f>IFERROR(IF(ISBLANK(M48),"",INT(M48*O48*(Q48/12)*(T48/100))),"")</f>
        <v/>
      </c>
      <c r="W48" s="631"/>
      <c r="X48" s="639" t="s">
        <v>239</v>
      </c>
      <c r="Y48" s="645"/>
      <c r="AB48" s="657" t="s">
        <v>333</v>
      </c>
    </row>
    <row r="49" spans="8:28" ht="21.95" customHeight="1">
      <c r="H49" s="474">
        <v>4</v>
      </c>
      <c r="I49" s="482" t="str">
        <f>IFERROR(VLOOKUP(4,$E$8:$T$12,5,FALSE),"")</f>
        <v/>
      </c>
      <c r="J49" s="494" t="str">
        <f>IFERROR(VLOOKUP(4,$E$8:$T$12,6,FALSE),"")</f>
        <v/>
      </c>
      <c r="K49" s="507" t="s">
        <v>332</v>
      </c>
      <c r="L49" s="507" t="str">
        <f>IFERROR(VLOOKUP(4,$E$8:$T$12,8,FALSE),"")</f>
        <v/>
      </c>
      <c r="M49" s="529" t="str">
        <f>IFERROR(VLOOKUP(4,$E$8:$T$12,16,FALSE),"")</f>
        <v/>
      </c>
      <c r="N49" s="498" t="s">
        <v>74</v>
      </c>
      <c r="O49" s="552"/>
      <c r="P49" s="498" t="s">
        <v>74</v>
      </c>
      <c r="Q49" s="571"/>
      <c r="R49" s="575" t="s">
        <v>63</v>
      </c>
      <c r="S49" s="498" t="s">
        <v>74</v>
      </c>
      <c r="T49" s="585"/>
      <c r="U49" s="600" t="s">
        <v>225</v>
      </c>
      <c r="V49" s="536" t="str">
        <f>IFERROR(IF(ISBLANK(M49),"",INT(M49*O49*(Q49/12)*(T49/100))),"")</f>
        <v/>
      </c>
      <c r="W49" s="631"/>
      <c r="X49" s="639" t="s">
        <v>239</v>
      </c>
      <c r="Y49" s="645"/>
      <c r="AB49" s="658" t="s">
        <v>85</v>
      </c>
    </row>
    <row r="50" spans="8:28" ht="21.95" customHeight="1">
      <c r="H50" s="474">
        <v>5</v>
      </c>
      <c r="I50" s="482" t="str">
        <f>IFERROR(VLOOKUP(5,$E$8:$T$12,5,FALSE),"")</f>
        <v/>
      </c>
      <c r="J50" s="495" t="str">
        <f>IFERROR(VLOOKUP(5,$E$8:$T$12,6,FALSE),"")</f>
        <v/>
      </c>
      <c r="K50" s="508" t="s">
        <v>332</v>
      </c>
      <c r="L50" s="508" t="str">
        <f>IFERROR(VLOOKUP(5,$E$8:$T$12,8,FALSE),"")</f>
        <v/>
      </c>
      <c r="M50" s="530" t="str">
        <f>IFERROR(VLOOKUP(5,$E$8:$T$12,16,FALSE),"")</f>
        <v/>
      </c>
      <c r="N50" s="499" t="s">
        <v>74</v>
      </c>
      <c r="O50" s="553"/>
      <c r="P50" s="499" t="s">
        <v>74</v>
      </c>
      <c r="Q50" s="571"/>
      <c r="R50" s="575" t="s">
        <v>63</v>
      </c>
      <c r="S50" s="499" t="s">
        <v>74</v>
      </c>
      <c r="T50" s="585"/>
      <c r="U50" s="601" t="s">
        <v>225</v>
      </c>
      <c r="V50" s="536" t="str">
        <f>IFERROR(IF(ISBLANK(M50),"",INT(M50*O50*(Q50/12)*(T50/100))),"")</f>
        <v/>
      </c>
      <c r="W50" s="632"/>
      <c r="X50" s="640" t="s">
        <v>239</v>
      </c>
      <c r="Y50" s="646"/>
      <c r="AB50" s="657" t="s">
        <v>143</v>
      </c>
    </row>
    <row r="51" spans="8:28" ht="21.95" customHeight="1">
      <c r="H51" s="473"/>
      <c r="I51" s="481"/>
      <c r="J51" s="496"/>
      <c r="K51" s="496"/>
      <c r="L51" s="496"/>
      <c r="O51" s="492"/>
      <c r="P51" s="528"/>
      <c r="Q51" s="572" t="s">
        <v>134</v>
      </c>
      <c r="R51" s="576"/>
      <c r="S51" s="528"/>
      <c r="T51" s="576"/>
      <c r="U51" s="602"/>
      <c r="V51" s="615">
        <f>SUM(V46:V50)</f>
        <v>0</v>
      </c>
    </row>
    <row r="52" spans="8:28" ht="21.95" customHeight="1">
      <c r="I52" s="463"/>
      <c r="O52" s="492"/>
      <c r="P52" s="528"/>
      <c r="Q52" s="492"/>
      <c r="R52" s="528"/>
      <c r="S52" s="568"/>
      <c r="T52" s="528"/>
      <c r="U52" s="568"/>
    </row>
    <row r="53" spans="8:28" ht="21.95" customHeight="1">
      <c r="H53" s="471" t="s">
        <v>243</v>
      </c>
    </row>
    <row r="54" spans="8:28" ht="21.75" customHeight="1">
      <c r="H54" s="468"/>
      <c r="I54" s="475" t="s">
        <v>90</v>
      </c>
      <c r="J54" s="485" t="s">
        <v>7</v>
      </c>
      <c r="K54" s="504"/>
      <c r="L54" s="475"/>
      <c r="M54" s="524" t="s">
        <v>242</v>
      </c>
      <c r="N54" s="520" t="s">
        <v>74</v>
      </c>
      <c r="O54" s="475" t="s">
        <v>244</v>
      </c>
      <c r="P54" s="520" t="s">
        <v>74</v>
      </c>
      <c r="Q54" s="485" t="s">
        <v>202</v>
      </c>
      <c r="R54" s="517"/>
      <c r="S54" s="520" t="s">
        <v>74</v>
      </c>
      <c r="T54" s="584" t="s">
        <v>136</v>
      </c>
      <c r="U54" s="599" t="s">
        <v>225</v>
      </c>
      <c r="V54" s="614" t="s">
        <v>32</v>
      </c>
      <c r="W54" s="630" t="s">
        <v>237</v>
      </c>
      <c r="X54" s="504"/>
      <c r="Y54" s="623"/>
    </row>
    <row r="55" spans="8:28" ht="21.95" customHeight="1">
      <c r="H55" s="469">
        <v>1</v>
      </c>
      <c r="I55" s="479" t="str">
        <f>IFERROR(VLOOKUP(1,$E$17:$T$21,5,FALSE),"")</f>
        <v/>
      </c>
      <c r="J55" s="497" t="str">
        <f>IFERROR(VLOOKUP(1,$E$17:$T$21,6,FALSE),"")</f>
        <v/>
      </c>
      <c r="K55" s="509" t="s">
        <v>332</v>
      </c>
      <c r="L55" s="509" t="str">
        <f>IFERROR(VLOOKUP(1,$E$17:$T$21,8,FALSE),"")</f>
        <v/>
      </c>
      <c r="M55" s="529" t="str">
        <f>IFERROR(VLOOKUP(1,$E$17:$T$21,16,FALSE),"")</f>
        <v/>
      </c>
      <c r="N55" s="498" t="s">
        <v>74</v>
      </c>
      <c r="O55" s="552"/>
      <c r="P55" s="498" t="s">
        <v>74</v>
      </c>
      <c r="Q55" s="571"/>
      <c r="R55" s="575" t="s">
        <v>245</v>
      </c>
      <c r="S55" s="498" t="s">
        <v>74</v>
      </c>
      <c r="T55" s="585"/>
      <c r="U55" s="600" t="s">
        <v>225</v>
      </c>
      <c r="V55" s="536" t="str">
        <f>IFERROR(IF(ISBLANK(M55),"",INT(M55*O55*(Q55/12)*(T55/100))),"")</f>
        <v/>
      </c>
      <c r="W55" s="631"/>
      <c r="X55" s="639" t="s">
        <v>239</v>
      </c>
      <c r="Y55" s="645"/>
    </row>
    <row r="56" spans="8:28" ht="21.95" customHeight="1">
      <c r="H56" s="469">
        <v>2</v>
      </c>
      <c r="I56" s="479" t="str">
        <f>IFERROR(VLOOKUP(2,$E$17:$T$21,5,FALSE),"")</f>
        <v/>
      </c>
      <c r="J56" s="498" t="str">
        <f>IFERROR(VLOOKUP(2,$E$17:$T$21,6,FALSE),"")</f>
        <v/>
      </c>
      <c r="K56" s="510" t="s">
        <v>332</v>
      </c>
      <c r="L56" s="510" t="str">
        <f>IFERROR(VLOOKUP(2,$E$17:$T$21,8,FALSE),"")</f>
        <v/>
      </c>
      <c r="M56" s="529" t="str">
        <f>IFERROR(VLOOKUP(2,$E$17:$T$21,16,FALSE),"")</f>
        <v/>
      </c>
      <c r="N56" s="498" t="s">
        <v>74</v>
      </c>
      <c r="O56" s="552"/>
      <c r="P56" s="498" t="s">
        <v>74</v>
      </c>
      <c r="Q56" s="571"/>
      <c r="R56" s="575" t="s">
        <v>245</v>
      </c>
      <c r="S56" s="498" t="s">
        <v>74</v>
      </c>
      <c r="T56" s="585"/>
      <c r="U56" s="600" t="s">
        <v>225</v>
      </c>
      <c r="V56" s="536" t="str">
        <f>IFERROR(IF(ISBLANK(M56),"",INT(M56*O56*(Q56/12)*(T56/100))),"")</f>
        <v/>
      </c>
      <c r="W56" s="631"/>
      <c r="X56" s="639" t="s">
        <v>239</v>
      </c>
      <c r="Y56" s="645"/>
    </row>
    <row r="57" spans="8:28" ht="21.95" customHeight="1">
      <c r="H57" s="469">
        <v>3</v>
      </c>
      <c r="I57" s="479" t="str">
        <f>IFERROR(VLOOKUP(3,$E$17:$T$21,5,FALSE),"")</f>
        <v/>
      </c>
      <c r="J57" s="498" t="str">
        <f>IFERROR(VLOOKUP(3,$E$17:$T$21,6,FALSE),"")</f>
        <v/>
      </c>
      <c r="K57" s="510" t="s">
        <v>332</v>
      </c>
      <c r="L57" s="510" t="str">
        <f>IFERROR(VLOOKUP(3,$E$17:$T$21,8,FALSE),"")</f>
        <v/>
      </c>
      <c r="M57" s="529" t="str">
        <f>IFERROR(VLOOKUP(3,$E$17:$T$21,16,FALSE),"")</f>
        <v/>
      </c>
      <c r="N57" s="498" t="s">
        <v>74</v>
      </c>
      <c r="O57" s="552"/>
      <c r="P57" s="498" t="s">
        <v>74</v>
      </c>
      <c r="Q57" s="571"/>
      <c r="R57" s="575" t="s">
        <v>245</v>
      </c>
      <c r="S57" s="498" t="s">
        <v>74</v>
      </c>
      <c r="T57" s="585"/>
      <c r="U57" s="600" t="s">
        <v>225</v>
      </c>
      <c r="V57" s="536" t="str">
        <f>IFERROR(IF(ISBLANK(M57),"",INT(M57*O57*(Q57/12)*(T57/100))),"")</f>
        <v/>
      </c>
      <c r="W57" s="631"/>
      <c r="X57" s="639" t="s">
        <v>239</v>
      </c>
      <c r="Y57" s="645"/>
    </row>
    <row r="58" spans="8:28" ht="21.95" customHeight="1">
      <c r="H58" s="469">
        <v>4</v>
      </c>
      <c r="I58" s="479" t="str">
        <f>IFERROR(VLOOKUP(4,$E$17:$T$21,5,FALSE),"")</f>
        <v/>
      </c>
      <c r="J58" s="498" t="str">
        <f>IFERROR(VLOOKUP(4,$E$17:$T$21,6,FALSE),"")</f>
        <v/>
      </c>
      <c r="K58" s="510" t="s">
        <v>332</v>
      </c>
      <c r="L58" s="510" t="str">
        <f>IFERROR(VLOOKUP(4,$E$17:$T$21,8,FALSE),"")</f>
        <v/>
      </c>
      <c r="M58" s="529" t="str">
        <f>IFERROR(VLOOKUP(4,$E$17:$T$21,16,FALSE),"")</f>
        <v/>
      </c>
      <c r="N58" s="498" t="s">
        <v>74</v>
      </c>
      <c r="O58" s="552"/>
      <c r="P58" s="498" t="s">
        <v>74</v>
      </c>
      <c r="Q58" s="571"/>
      <c r="R58" s="575" t="s">
        <v>245</v>
      </c>
      <c r="S58" s="498" t="s">
        <v>74</v>
      </c>
      <c r="T58" s="585"/>
      <c r="U58" s="600" t="s">
        <v>225</v>
      </c>
      <c r="V58" s="536" t="str">
        <f>IFERROR(IF(ISBLANK(M58),"",INT(M58*O58*(Q58/12)*(T58/100))),"")</f>
        <v/>
      </c>
      <c r="W58" s="631"/>
      <c r="X58" s="639" t="s">
        <v>239</v>
      </c>
      <c r="Y58" s="645"/>
    </row>
    <row r="59" spans="8:28" ht="21.95" customHeight="1">
      <c r="H59" s="470">
        <v>5</v>
      </c>
      <c r="I59" s="483" t="str">
        <f>IFERROR(VLOOKUP(5,$E$17:$T$21,5,FALSE),"")</f>
        <v/>
      </c>
      <c r="J59" s="499" t="str">
        <f>IFERROR(VLOOKUP(5,$E$17:$T$21,6,FALSE),"")</f>
        <v/>
      </c>
      <c r="K59" s="511" t="s">
        <v>332</v>
      </c>
      <c r="L59" s="511" t="str">
        <f>IFERROR(VLOOKUP(5,$E$17:$T$21,8,FALSE),"")</f>
        <v/>
      </c>
      <c r="M59" s="531" t="str">
        <f>IFERROR(VLOOKUP(5,$E$17:$T$21,16,FALSE),"")</f>
        <v/>
      </c>
      <c r="N59" s="499" t="s">
        <v>74</v>
      </c>
      <c r="O59" s="553"/>
      <c r="P59" s="499" t="s">
        <v>74</v>
      </c>
      <c r="Q59" s="573"/>
      <c r="R59" s="577" t="s">
        <v>245</v>
      </c>
      <c r="S59" s="499" t="s">
        <v>74</v>
      </c>
      <c r="T59" s="586"/>
      <c r="U59" s="601" t="s">
        <v>225</v>
      </c>
      <c r="V59" s="616" t="str">
        <f>IFERROR(IF(ISBLANK(M59),"",INT(M59*O59*(Q59/12)*(T59/100))),"")</f>
        <v/>
      </c>
      <c r="W59" s="632"/>
      <c r="X59" s="640" t="s">
        <v>239</v>
      </c>
      <c r="Y59" s="646"/>
    </row>
    <row r="60" spans="8:28" ht="21.95" customHeight="1">
      <c r="I60" s="463"/>
      <c r="O60" s="492"/>
      <c r="P60" s="528"/>
      <c r="Q60" s="492" t="s">
        <v>123</v>
      </c>
      <c r="R60" s="528"/>
      <c r="S60" s="528"/>
      <c r="T60" s="528"/>
      <c r="U60" s="602"/>
      <c r="V60" s="617">
        <f>SUM(V55:V59)</f>
        <v>0</v>
      </c>
    </row>
    <row r="61" spans="8:28" ht="21.95" customHeight="1">
      <c r="I61" s="463"/>
      <c r="O61" s="492"/>
      <c r="P61" s="528"/>
      <c r="Q61" s="492"/>
      <c r="R61" s="528"/>
      <c r="S61" s="528"/>
      <c r="T61" s="528"/>
      <c r="U61" s="603"/>
      <c r="V61" s="610"/>
    </row>
    <row r="62" spans="8:28" ht="21.95" customHeight="1">
      <c r="H62" s="471" t="s">
        <v>263</v>
      </c>
    </row>
    <row r="63" spans="8:28" ht="30" customHeight="1">
      <c r="H63" s="468"/>
      <c r="I63" s="475" t="s">
        <v>90</v>
      </c>
      <c r="J63" s="485" t="s">
        <v>7</v>
      </c>
      <c r="K63" s="504"/>
      <c r="L63" s="475"/>
      <c r="M63" s="532" t="s">
        <v>103</v>
      </c>
      <c r="N63" s="542"/>
      <c r="O63" s="554"/>
      <c r="P63" s="558" t="s">
        <v>224</v>
      </c>
      <c r="Q63" s="520" t="s">
        <v>212</v>
      </c>
      <c r="R63" s="520"/>
      <c r="S63" s="520" t="s">
        <v>74</v>
      </c>
      <c r="T63" s="584" t="s">
        <v>136</v>
      </c>
      <c r="U63" s="599" t="s">
        <v>225</v>
      </c>
      <c r="V63" s="548" t="s">
        <v>32</v>
      </c>
      <c r="W63" s="630" t="s">
        <v>237</v>
      </c>
      <c r="X63" s="504"/>
      <c r="Y63" s="623"/>
    </row>
    <row r="64" spans="8:28" ht="21.95" customHeight="1">
      <c r="H64" s="469">
        <v>1</v>
      </c>
      <c r="I64" s="479" t="str">
        <f>IFERROR(VLOOKUP(1,$F$17:$T$21,4,FALSE),"")</f>
        <v/>
      </c>
      <c r="J64" s="497" t="str">
        <f>IFERROR(VLOOKUP(1,$F$17:$T$21,5,FALSE),"")</f>
        <v/>
      </c>
      <c r="K64" s="509" t="s">
        <v>332</v>
      </c>
      <c r="L64" s="509" t="str">
        <f>IFERROR(VLOOKUP(1,$F$17:$T$21,7,FALSE),"")</f>
        <v/>
      </c>
      <c r="M64" s="533"/>
      <c r="N64" s="543"/>
      <c r="O64" s="555"/>
      <c r="P64" s="559" t="s">
        <v>224</v>
      </c>
      <c r="Q64" s="498" t="str">
        <f>IFERROR(VLOOKUP(1,$F$17:$T$21,12,FALSE),"")</f>
        <v/>
      </c>
      <c r="R64" s="498" t="str">
        <f>IFERROR(VLOOKUP(1,$F$17:$T$21,7,FALSE),"")</f>
        <v/>
      </c>
      <c r="S64" s="498" t="s">
        <v>74</v>
      </c>
      <c r="T64" s="585"/>
      <c r="U64" s="600" t="s">
        <v>225</v>
      </c>
      <c r="V64" s="618" t="str">
        <f>IFERROR(IF(I64="","",INT((M64-1)/Q64*(T64/100))),"")</f>
        <v/>
      </c>
      <c r="W64" s="631"/>
      <c r="X64" s="639" t="s">
        <v>239</v>
      </c>
      <c r="Y64" s="645"/>
    </row>
    <row r="65" spans="7:29" ht="21" customHeight="1">
      <c r="H65" s="469">
        <v>2</v>
      </c>
      <c r="I65" s="479" t="str">
        <f>IFERROR(VLOOKUP(2,$F$17:$T$21,4,FALSE),"")</f>
        <v/>
      </c>
      <c r="J65" s="498" t="str">
        <f>IFERROR(VLOOKUP(2,$F$17:$T$21,5,FALSE),"")</f>
        <v/>
      </c>
      <c r="K65" s="510" t="s">
        <v>332</v>
      </c>
      <c r="L65" s="510" t="str">
        <f>IFERROR(VLOOKUP(2,$F$17:$T$21,7,FALSE),"")</f>
        <v/>
      </c>
      <c r="M65" s="533"/>
      <c r="N65" s="543"/>
      <c r="O65" s="555"/>
      <c r="P65" s="559" t="s">
        <v>224</v>
      </c>
      <c r="Q65" s="498" t="str">
        <f>IFERROR(VLOOKUP(2,$F$17:$T$21,12,FALSE),"")</f>
        <v/>
      </c>
      <c r="R65" s="498" t="str">
        <f>IFERROR(VLOOKUP(1,$F$17:$T$21,7,FALSE),"")</f>
        <v/>
      </c>
      <c r="S65" s="498" t="s">
        <v>74</v>
      </c>
      <c r="T65" s="585"/>
      <c r="U65" s="600" t="s">
        <v>225</v>
      </c>
      <c r="V65" s="618" t="str">
        <f>IFERROR(IF(I65="","",INT((M65-1)/Q65*(T65/100))),"")</f>
        <v/>
      </c>
      <c r="W65" s="631"/>
      <c r="X65" s="639" t="s">
        <v>239</v>
      </c>
      <c r="Y65" s="645"/>
    </row>
    <row r="66" spans="7:29" ht="21.95" customHeight="1">
      <c r="G66" s="464"/>
      <c r="H66" s="469">
        <v>3</v>
      </c>
      <c r="I66" s="479" t="str">
        <f>IFERROR(VLOOKUP(3,$F$17:$T$21,4,FALSE),"")</f>
        <v/>
      </c>
      <c r="J66" s="498" t="str">
        <f>IFERROR(VLOOKUP(3,$F$17:$T$21,5,FALSE),"")</f>
        <v/>
      </c>
      <c r="K66" s="510" t="s">
        <v>332</v>
      </c>
      <c r="L66" s="510" t="str">
        <f>IFERROR(VLOOKUP(3,$F$17:$T$21,7,FALSE),"")</f>
        <v/>
      </c>
      <c r="M66" s="533"/>
      <c r="N66" s="543"/>
      <c r="O66" s="555"/>
      <c r="P66" s="559" t="s">
        <v>224</v>
      </c>
      <c r="Q66" s="498" t="str">
        <f>IFERROR(VLOOKUP(3,$F$17:$T$21,12,FALSE),"")</f>
        <v/>
      </c>
      <c r="R66" s="498" t="str">
        <f>IFERROR(VLOOKUP(1,$F$17:$T$21,7,FALSE),"")</f>
        <v/>
      </c>
      <c r="S66" s="498" t="s">
        <v>74</v>
      </c>
      <c r="T66" s="585"/>
      <c r="U66" s="600" t="s">
        <v>225</v>
      </c>
      <c r="V66" s="618" t="str">
        <f>IFERROR(IF(I66="","",INT((M66-1)/Q66*(T66/100))),"")</f>
        <v/>
      </c>
      <c r="W66" s="631"/>
      <c r="X66" s="639" t="s">
        <v>239</v>
      </c>
      <c r="Y66" s="645"/>
    </row>
    <row r="67" spans="7:29" ht="21.95" customHeight="1">
      <c r="G67" s="464"/>
      <c r="H67" s="469">
        <v>4</v>
      </c>
      <c r="I67" s="479" t="str">
        <f>IFERROR(VLOOKUP(4,$F$17:$T$21,4,FALSE),"")</f>
        <v/>
      </c>
      <c r="J67" s="498" t="str">
        <f>IFERROR(VLOOKUP(4,$F$17:$T$21,5,FALSE),"")</f>
        <v/>
      </c>
      <c r="K67" s="510" t="s">
        <v>332</v>
      </c>
      <c r="L67" s="510" t="str">
        <f>IFERROR(VLOOKUP(4,$F$17:$T$21,7,FALSE),"")</f>
        <v/>
      </c>
      <c r="M67" s="533"/>
      <c r="N67" s="543"/>
      <c r="O67" s="555"/>
      <c r="P67" s="559" t="s">
        <v>224</v>
      </c>
      <c r="Q67" s="498" t="str">
        <f>IFERROR(VLOOKUP(4,$F$17:$T$21,12,FALSE),"")</f>
        <v/>
      </c>
      <c r="R67" s="498" t="str">
        <f>IFERROR(VLOOKUP(1,$F$17:$T$21,7,FALSE),"")</f>
        <v/>
      </c>
      <c r="S67" s="498" t="s">
        <v>74</v>
      </c>
      <c r="T67" s="585"/>
      <c r="U67" s="600" t="s">
        <v>225</v>
      </c>
      <c r="V67" s="618" t="str">
        <f>IFERROR(IF(I67="","",INT((M67-1)/Q67*(T67/100))),"")</f>
        <v/>
      </c>
      <c r="W67" s="631"/>
      <c r="X67" s="639" t="s">
        <v>239</v>
      </c>
      <c r="Y67" s="645"/>
    </row>
    <row r="68" spans="7:29" ht="21.95" customHeight="1">
      <c r="G68" s="464"/>
      <c r="H68" s="470">
        <v>5</v>
      </c>
      <c r="I68" s="483" t="str">
        <f>IFERROR(VLOOKUP(5,$F$17:$T$21,4,FALSE),"")</f>
        <v/>
      </c>
      <c r="J68" s="499" t="str">
        <f>IFERROR(VLOOKUP(5,$F$17:$T$21,5,FALSE),"")</f>
        <v/>
      </c>
      <c r="K68" s="511" t="s">
        <v>332</v>
      </c>
      <c r="L68" s="511" t="str">
        <f>IFERROR(VLOOKUP(5,$F$17:$T$21,7,FALSE),"")</f>
        <v/>
      </c>
      <c r="M68" s="534"/>
      <c r="N68" s="544"/>
      <c r="O68" s="556"/>
      <c r="P68" s="560" t="s">
        <v>224</v>
      </c>
      <c r="Q68" s="499" t="str">
        <f>IFERROR(VLOOKUP(5,$F$17:$T$21,12,FALSE),"")</f>
        <v/>
      </c>
      <c r="R68" s="499" t="str">
        <f>IFERROR(VLOOKUP(1,$F$17:$T$21,7,FALSE),"")</f>
        <v/>
      </c>
      <c r="S68" s="499" t="s">
        <v>74</v>
      </c>
      <c r="T68" s="586"/>
      <c r="U68" s="601" t="s">
        <v>225</v>
      </c>
      <c r="V68" s="619" t="str">
        <f>IFERROR(IF(I68="","",INT((M68-1)/Q68*(T68/100))),"")</f>
        <v/>
      </c>
      <c r="W68" s="632"/>
      <c r="X68" s="640" t="s">
        <v>239</v>
      </c>
      <c r="Y68" s="646"/>
    </row>
    <row r="69" spans="7:29" ht="21.95" customHeight="1">
      <c r="G69" s="464"/>
      <c r="I69" s="463"/>
      <c r="O69" s="492"/>
      <c r="P69" s="528"/>
      <c r="Q69" s="492" t="s">
        <v>331</v>
      </c>
      <c r="R69" s="528"/>
      <c r="S69" s="528"/>
      <c r="T69" s="528"/>
      <c r="U69" s="602"/>
      <c r="V69" s="617">
        <f>SUM(V64:V68)</f>
        <v>0</v>
      </c>
    </row>
    <row r="70" spans="7:29" ht="21.95" customHeight="1">
      <c r="G70" s="464"/>
      <c r="I70" s="463"/>
      <c r="O70" s="492"/>
      <c r="P70" s="528"/>
      <c r="Q70" s="492"/>
      <c r="R70" s="528"/>
      <c r="S70" s="528"/>
      <c r="T70" s="528"/>
      <c r="U70" s="603"/>
      <c r="V70" s="610"/>
    </row>
    <row r="71" spans="7:29" ht="21.95" customHeight="1">
      <c r="H71" s="471" t="s">
        <v>330</v>
      </c>
    </row>
    <row r="72" spans="7:29" ht="21.95" customHeight="1">
      <c r="H72" s="468"/>
      <c r="I72" s="475" t="s">
        <v>90</v>
      </c>
      <c r="J72" s="500" t="s">
        <v>322</v>
      </c>
      <c r="K72" s="512"/>
      <c r="L72" s="517"/>
      <c r="M72" s="535" t="s">
        <v>125</v>
      </c>
      <c r="N72" s="461"/>
      <c r="O72" s="464"/>
      <c r="P72" s="461"/>
      <c r="Q72" s="461"/>
      <c r="R72" s="461"/>
      <c r="S72" s="461"/>
      <c r="T72" s="461"/>
      <c r="U72" s="461"/>
      <c r="V72" s="461"/>
      <c r="W72" s="461"/>
      <c r="X72" s="461"/>
      <c r="Y72" s="461"/>
    </row>
    <row r="73" spans="7:29" ht="21.95" customHeight="1">
      <c r="H73" s="469">
        <v>1</v>
      </c>
      <c r="I73" s="476"/>
      <c r="J73" s="501"/>
      <c r="K73" s="513" t="s">
        <v>332</v>
      </c>
      <c r="L73" s="518"/>
      <c r="M73" s="536" t="str">
        <f>IFERROR(IF(ISBLANK(J73),"",1),"")</f>
        <v/>
      </c>
      <c r="N73" s="461"/>
      <c r="O73" s="464"/>
      <c r="P73" s="461"/>
      <c r="Q73" s="461"/>
      <c r="R73" s="461"/>
      <c r="S73" s="461"/>
      <c r="T73" s="461"/>
      <c r="U73" s="461"/>
      <c r="V73" s="461"/>
      <c r="W73" s="461"/>
      <c r="X73" s="461"/>
      <c r="Y73" s="461"/>
      <c r="AC73" s="461"/>
    </row>
    <row r="74" spans="7:29" ht="21.95" customHeight="1">
      <c r="H74" s="469">
        <v>2</v>
      </c>
      <c r="I74" s="476"/>
      <c r="J74" s="501"/>
      <c r="K74" s="513" t="s">
        <v>332</v>
      </c>
      <c r="L74" s="518"/>
      <c r="M74" s="537"/>
      <c r="N74" s="461"/>
      <c r="O74" s="464"/>
      <c r="P74" s="461"/>
      <c r="Q74" s="461"/>
      <c r="R74" s="461"/>
      <c r="S74" s="461"/>
      <c r="T74" s="461"/>
      <c r="U74" s="461"/>
      <c r="V74" s="461"/>
      <c r="W74" s="461"/>
      <c r="X74" s="461"/>
      <c r="Y74" s="461"/>
      <c r="AC74" s="461"/>
    </row>
    <row r="75" spans="7:29" ht="21.95" customHeight="1">
      <c r="H75" s="469">
        <v>3</v>
      </c>
      <c r="I75" s="476"/>
      <c r="J75" s="501"/>
      <c r="K75" s="513" t="s">
        <v>332</v>
      </c>
      <c r="L75" s="518"/>
      <c r="M75" s="537"/>
      <c r="N75" s="461"/>
      <c r="O75" s="464"/>
      <c r="P75" s="461"/>
      <c r="Q75" s="461"/>
      <c r="R75" s="461"/>
      <c r="S75" s="461"/>
      <c r="T75" s="461"/>
      <c r="U75" s="461"/>
      <c r="V75" s="461"/>
      <c r="W75" s="461"/>
      <c r="X75" s="461"/>
      <c r="Y75" s="461"/>
      <c r="AC75" s="461"/>
    </row>
    <row r="76" spans="7:29" ht="21.95" customHeight="1">
      <c r="H76" s="469">
        <v>4</v>
      </c>
      <c r="I76" s="476"/>
      <c r="J76" s="501"/>
      <c r="K76" s="513" t="s">
        <v>332</v>
      </c>
      <c r="L76" s="518"/>
      <c r="M76" s="537"/>
      <c r="N76" s="461"/>
      <c r="O76" s="464"/>
      <c r="P76" s="461"/>
      <c r="Q76" s="461"/>
      <c r="R76" s="461"/>
      <c r="S76" s="461"/>
      <c r="T76" s="461"/>
      <c r="U76" s="461"/>
      <c r="V76" s="461"/>
      <c r="W76" s="461"/>
      <c r="X76" s="461"/>
      <c r="Y76" s="461"/>
      <c r="AC76" s="461"/>
    </row>
    <row r="77" spans="7:29" ht="21.95" customHeight="1">
      <c r="H77" s="470">
        <v>5</v>
      </c>
      <c r="I77" s="477"/>
      <c r="J77" s="502"/>
      <c r="K77" s="514" t="s">
        <v>332</v>
      </c>
      <c r="L77" s="519"/>
      <c r="M77" s="538"/>
      <c r="N77" s="461"/>
      <c r="O77" s="464"/>
      <c r="P77" s="461"/>
      <c r="Q77" s="461"/>
      <c r="R77" s="461"/>
      <c r="S77" s="461"/>
      <c r="T77" s="461"/>
      <c r="U77" s="461"/>
      <c r="V77" s="461"/>
      <c r="W77" s="461"/>
      <c r="X77" s="461"/>
      <c r="Y77" s="461"/>
      <c r="AC77" s="461"/>
    </row>
    <row r="78" spans="7:29" ht="21.95" customHeight="1">
      <c r="I78" s="463"/>
      <c r="J78" s="461"/>
      <c r="K78" s="461"/>
      <c r="L78" s="461"/>
      <c r="M78" s="461"/>
      <c r="N78" s="461"/>
      <c r="O78" s="464"/>
      <c r="P78" s="461"/>
      <c r="Q78" s="461"/>
      <c r="R78" s="461"/>
      <c r="S78" s="461"/>
      <c r="T78" s="461"/>
      <c r="U78" s="461"/>
      <c r="V78" s="461"/>
      <c r="W78" s="461"/>
      <c r="X78" s="461"/>
      <c r="Y78" s="461"/>
      <c r="AC78" s="461"/>
    </row>
    <row r="79" spans="7:29" ht="21.95" customHeight="1">
      <c r="I79" s="463"/>
      <c r="O79" s="492"/>
      <c r="P79" s="528"/>
      <c r="Q79" s="492"/>
      <c r="R79" s="528"/>
      <c r="S79" s="528"/>
      <c r="T79" s="528"/>
      <c r="U79" s="603"/>
      <c r="V79" s="610"/>
      <c r="AC79" s="461"/>
    </row>
    <row r="80" spans="7:29" ht="21.95" customHeight="1">
      <c r="I80" s="471" t="s">
        <v>248</v>
      </c>
      <c r="S80" s="568"/>
    </row>
    <row r="81" spans="9:25" ht="21.95" customHeight="1">
      <c r="I81" s="463"/>
      <c r="J81" s="463"/>
      <c r="K81" s="463"/>
      <c r="L81" s="463"/>
      <c r="M81" s="463"/>
      <c r="N81" s="463"/>
      <c r="O81" s="463"/>
      <c r="P81" s="463"/>
      <c r="Q81" s="463"/>
      <c r="T81" s="587" t="s">
        <v>82</v>
      </c>
      <c r="U81" s="604"/>
      <c r="V81" s="620">
        <f>$M$32</f>
        <v>0</v>
      </c>
      <c r="W81" s="611"/>
      <c r="X81" s="611"/>
      <c r="Y81" s="611"/>
    </row>
    <row r="82" spans="9:25" ht="20.25" customHeight="1">
      <c r="I82" s="484"/>
      <c r="J82" s="503"/>
      <c r="K82" s="503"/>
      <c r="L82" s="503"/>
      <c r="M82" s="503"/>
      <c r="N82" s="503"/>
      <c r="O82" s="463"/>
      <c r="P82" s="463"/>
      <c r="Q82" s="568"/>
      <c r="T82" s="588" t="s">
        <v>249</v>
      </c>
      <c r="U82" s="498"/>
      <c r="V82" s="621">
        <f>$V$42</f>
        <v>0</v>
      </c>
      <c r="W82" s="611"/>
      <c r="X82" s="611"/>
      <c r="Y82" s="611"/>
    </row>
    <row r="83" spans="9:25" ht="23.1" customHeight="1">
      <c r="I83" s="484"/>
      <c r="J83" s="503"/>
      <c r="K83" s="503"/>
      <c r="L83" s="503"/>
      <c r="M83" s="503"/>
      <c r="N83" s="503"/>
      <c r="O83" s="463"/>
      <c r="P83" s="463"/>
      <c r="Q83" s="568"/>
      <c r="T83" s="589" t="s">
        <v>107</v>
      </c>
      <c r="U83" s="605"/>
      <c r="V83" s="622">
        <f>$V$51+$V$60+$V$69</f>
        <v>0</v>
      </c>
    </row>
    <row r="84" spans="9:25" ht="23.1" customHeight="1">
      <c r="I84" s="484"/>
      <c r="J84" s="503"/>
      <c r="K84" s="503"/>
      <c r="L84" s="503"/>
      <c r="M84" s="503"/>
      <c r="N84" s="503"/>
      <c r="O84" s="463"/>
      <c r="P84" s="463"/>
      <c r="Q84" s="568"/>
      <c r="S84" s="463"/>
      <c r="T84" s="463"/>
      <c r="U84" s="463"/>
      <c r="V84" s="613">
        <f>SUM(V81:V83)</f>
        <v>0</v>
      </c>
      <c r="W84" s="611"/>
      <c r="X84" s="611"/>
      <c r="Y84" s="611"/>
    </row>
    <row r="85" spans="9:25" ht="23.1" customHeight="1">
      <c r="I85" s="484"/>
      <c r="J85" s="484"/>
      <c r="K85" s="484"/>
      <c r="L85" s="484"/>
      <c r="M85" s="503"/>
      <c r="N85" s="503"/>
      <c r="O85" s="463"/>
      <c r="P85" s="463"/>
      <c r="Q85" s="463"/>
    </row>
    <row r="86" spans="9:25" ht="23.1" customHeight="1"/>
    <row r="87" spans="9:25" ht="20.25" customHeight="1">
      <c r="I87" s="462"/>
      <c r="J87" s="462"/>
    </row>
    <row r="88" spans="9:25" ht="20.25" customHeight="1"/>
    <row r="89" spans="9:25" ht="20.25" customHeight="1"/>
    <row r="90" spans="9:25" ht="20.25" customHeight="1"/>
    <row r="91" spans="9:25" ht="20.25" customHeight="1"/>
    <row r="92" spans="9:25" ht="20.25" customHeight="1"/>
    <row r="93" spans="9:25" ht="20.25" customHeight="1"/>
    <row r="94" spans="9:25" ht="20.25" customHeight="1"/>
    <row r="95" spans="9:25" ht="20.25" customHeight="1"/>
    <row r="96" spans="9:25" ht="20.25" customHeight="1"/>
    <row r="97" ht="20.25" customHeight="1"/>
  </sheetData>
  <mergeCells count="515">
    <mergeCell ref="H1:Y1"/>
    <mergeCell ref="H2:Y2"/>
    <mergeCell ref="O4:R4"/>
    <mergeCell ref="U4:W4"/>
    <mergeCell ref="AD5:AE5"/>
    <mergeCell ref="AF5:AG5"/>
    <mergeCell ref="AH5:AI5"/>
    <mergeCell ref="AJ5:AK5"/>
    <mergeCell ref="AL5:AM5"/>
    <mergeCell ref="AN5:AO5"/>
    <mergeCell ref="AP5:AQ5"/>
    <mergeCell ref="AR5:AS5"/>
    <mergeCell ref="AT5:AU5"/>
    <mergeCell ref="AV5:AW5"/>
    <mergeCell ref="AX5:AY5"/>
    <mergeCell ref="AD6:AE6"/>
    <mergeCell ref="AF6:AG6"/>
    <mergeCell ref="AH6:AI6"/>
    <mergeCell ref="AJ6:AK6"/>
    <mergeCell ref="AL6:AM6"/>
    <mergeCell ref="AN6:AO6"/>
    <mergeCell ref="AP6:AQ6"/>
    <mergeCell ref="AR6:AS6"/>
    <mergeCell ref="AT6:AU6"/>
    <mergeCell ref="AV6:AW6"/>
    <mergeCell ref="AX6:AY6"/>
    <mergeCell ref="J7:L7"/>
    <mergeCell ref="M7:O7"/>
    <mergeCell ref="Q7:R7"/>
    <mergeCell ref="V7:W7"/>
    <mergeCell ref="AD7:AE7"/>
    <mergeCell ref="AF7:AG7"/>
    <mergeCell ref="AH7:AI7"/>
    <mergeCell ref="AJ7:AK7"/>
    <mergeCell ref="AL7:AM7"/>
    <mergeCell ref="AN7:AO7"/>
    <mergeCell ref="AP7:AQ7"/>
    <mergeCell ref="AR7:AS7"/>
    <mergeCell ref="AT7:AU7"/>
    <mergeCell ref="AV7:AW7"/>
    <mergeCell ref="AX7:AY7"/>
    <mergeCell ref="M8:O8"/>
    <mergeCell ref="Q8:R8"/>
    <mergeCell ref="AD8:AE8"/>
    <mergeCell ref="AF8:AG8"/>
    <mergeCell ref="AH8:AI8"/>
    <mergeCell ref="AJ8:AK8"/>
    <mergeCell ref="AL8:AM8"/>
    <mergeCell ref="AN8:AO8"/>
    <mergeCell ref="AP8:AQ8"/>
    <mergeCell ref="AR8:AS8"/>
    <mergeCell ref="AT8:AU8"/>
    <mergeCell ref="AV8:AW8"/>
    <mergeCell ref="AX8:AY8"/>
    <mergeCell ref="M9:O9"/>
    <mergeCell ref="Q9:R9"/>
    <mergeCell ref="AD9:AE9"/>
    <mergeCell ref="AF9:AG9"/>
    <mergeCell ref="AH9:AI9"/>
    <mergeCell ref="AJ9:AK9"/>
    <mergeCell ref="AL9:AM9"/>
    <mergeCell ref="AN9:AO9"/>
    <mergeCell ref="AP9:AQ9"/>
    <mergeCell ref="AR9:AS9"/>
    <mergeCell ref="AT9:AU9"/>
    <mergeCell ref="AV9:AW9"/>
    <mergeCell ref="AX9:AY9"/>
    <mergeCell ref="M10:O10"/>
    <mergeCell ref="Q10:R10"/>
    <mergeCell ref="AD10:AE10"/>
    <mergeCell ref="AF10:AG10"/>
    <mergeCell ref="AH10:AI10"/>
    <mergeCell ref="AJ10:AK10"/>
    <mergeCell ref="AL10:AM10"/>
    <mergeCell ref="AN10:AO10"/>
    <mergeCell ref="AP10:AQ10"/>
    <mergeCell ref="AR10:AS10"/>
    <mergeCell ref="AT10:AU10"/>
    <mergeCell ref="AV10:AW10"/>
    <mergeCell ref="AX10:AY10"/>
    <mergeCell ref="M11:O11"/>
    <mergeCell ref="Q11:R11"/>
    <mergeCell ref="AD11:AE11"/>
    <mergeCell ref="AF11:AG11"/>
    <mergeCell ref="AH11:AI11"/>
    <mergeCell ref="AJ11:AK11"/>
    <mergeCell ref="AL11:AM11"/>
    <mergeCell ref="AN11:AO11"/>
    <mergeCell ref="AP11:AQ11"/>
    <mergeCell ref="AR11:AS11"/>
    <mergeCell ref="AT11:AU11"/>
    <mergeCell ref="AV11:AW11"/>
    <mergeCell ref="AX11:AY11"/>
    <mergeCell ref="M12:O12"/>
    <mergeCell ref="Q12:R12"/>
    <mergeCell ref="AD12:AE12"/>
    <mergeCell ref="AF12:AG12"/>
    <mergeCell ref="AH12:AI12"/>
    <mergeCell ref="AJ12:AK12"/>
    <mergeCell ref="AL12:AM12"/>
    <mergeCell ref="AN12:AO12"/>
    <mergeCell ref="AP12:AQ12"/>
    <mergeCell ref="AR12:AS12"/>
    <mergeCell ref="AT12:AU12"/>
    <mergeCell ref="AV12:AW12"/>
    <mergeCell ref="AX12:AY12"/>
    <mergeCell ref="AD13:AE13"/>
    <mergeCell ref="AF13:AG13"/>
    <mergeCell ref="AH13:AI13"/>
    <mergeCell ref="AJ13:AK13"/>
    <mergeCell ref="AL13:AM13"/>
    <mergeCell ref="AN13:AO13"/>
    <mergeCell ref="AP13:AQ13"/>
    <mergeCell ref="AR13:AS13"/>
    <mergeCell ref="AT13:AU13"/>
    <mergeCell ref="AV13:AW13"/>
    <mergeCell ref="AX13:AY13"/>
    <mergeCell ref="AD14:AE14"/>
    <mergeCell ref="AF14:AG14"/>
    <mergeCell ref="AH14:AI14"/>
    <mergeCell ref="AJ14:AK14"/>
    <mergeCell ref="AL14:AM14"/>
    <mergeCell ref="AN14:AO14"/>
    <mergeCell ref="AP14:AQ14"/>
    <mergeCell ref="AR14:AS14"/>
    <mergeCell ref="AT14:AU14"/>
    <mergeCell ref="AV14:AW14"/>
    <mergeCell ref="AX14:AY14"/>
    <mergeCell ref="AD15:AE15"/>
    <mergeCell ref="AF15:AG15"/>
    <mergeCell ref="AH15:AI15"/>
    <mergeCell ref="AJ15:AK15"/>
    <mergeCell ref="AL15:AM15"/>
    <mergeCell ref="AN15:AO15"/>
    <mergeCell ref="AP15:AQ15"/>
    <mergeCell ref="AR15:AS15"/>
    <mergeCell ref="AT15:AU15"/>
    <mergeCell ref="AV15:AW15"/>
    <mergeCell ref="AX15:AY15"/>
    <mergeCell ref="J16:L16"/>
    <mergeCell ref="M16:O16"/>
    <mergeCell ref="Q16:R16"/>
    <mergeCell ref="V16:W16"/>
    <mergeCell ref="AD16:AE16"/>
    <mergeCell ref="AF16:AG16"/>
    <mergeCell ref="AH16:AI16"/>
    <mergeCell ref="AJ16:AK16"/>
    <mergeCell ref="AL16:AM16"/>
    <mergeCell ref="AN16:AO16"/>
    <mergeCell ref="AP16:AQ16"/>
    <mergeCell ref="AR16:AS16"/>
    <mergeCell ref="AT16:AU16"/>
    <mergeCell ref="AV16:AW16"/>
    <mergeCell ref="AX16:AY16"/>
    <mergeCell ref="M17:O17"/>
    <mergeCell ref="Q17:R17"/>
    <mergeCell ref="AD17:AE17"/>
    <mergeCell ref="AF17:AG17"/>
    <mergeCell ref="AH17:AI17"/>
    <mergeCell ref="AJ17:AK17"/>
    <mergeCell ref="AL17:AM17"/>
    <mergeCell ref="AN17:AO17"/>
    <mergeCell ref="AP17:AQ17"/>
    <mergeCell ref="AR17:AS17"/>
    <mergeCell ref="AT17:AU17"/>
    <mergeCell ref="AV17:AW17"/>
    <mergeCell ref="AX17:AY17"/>
    <mergeCell ref="M18:O18"/>
    <mergeCell ref="Q18:R18"/>
    <mergeCell ref="AD18:AE18"/>
    <mergeCell ref="AF18:AG18"/>
    <mergeCell ref="AH18:AI18"/>
    <mergeCell ref="AJ18:AK18"/>
    <mergeCell ref="AL18:AM18"/>
    <mergeCell ref="AN18:AO18"/>
    <mergeCell ref="AP18:AQ18"/>
    <mergeCell ref="AR18:AS18"/>
    <mergeCell ref="AT18:AU18"/>
    <mergeCell ref="AV18:AW18"/>
    <mergeCell ref="AX18:AY18"/>
    <mergeCell ref="M19:O19"/>
    <mergeCell ref="Q19:R19"/>
    <mergeCell ref="AD19:AE19"/>
    <mergeCell ref="AF19:AG19"/>
    <mergeCell ref="AH19:AI19"/>
    <mergeCell ref="AJ19:AK19"/>
    <mergeCell ref="AL19:AM19"/>
    <mergeCell ref="AN19:AO19"/>
    <mergeCell ref="AP19:AQ19"/>
    <mergeCell ref="AR19:AS19"/>
    <mergeCell ref="AT19:AU19"/>
    <mergeCell ref="AV19:AW19"/>
    <mergeCell ref="AX19:AY19"/>
    <mergeCell ref="M20:O20"/>
    <mergeCell ref="Q20:R20"/>
    <mergeCell ref="AD20:AE20"/>
    <mergeCell ref="AF20:AG20"/>
    <mergeCell ref="AH20:AI20"/>
    <mergeCell ref="AJ20:AK20"/>
    <mergeCell ref="AL20:AM20"/>
    <mergeCell ref="AN20:AO20"/>
    <mergeCell ref="AP20:AQ20"/>
    <mergeCell ref="AR20:AS20"/>
    <mergeCell ref="AT20:AU20"/>
    <mergeCell ref="AV20:AW20"/>
    <mergeCell ref="AX20:AY20"/>
    <mergeCell ref="M21:O21"/>
    <mergeCell ref="Q21:R21"/>
    <mergeCell ref="AD21:AE21"/>
    <mergeCell ref="AF21:AG21"/>
    <mergeCell ref="AH21:AI21"/>
    <mergeCell ref="AJ21:AK21"/>
    <mergeCell ref="AL21:AM21"/>
    <mergeCell ref="AN21:AO21"/>
    <mergeCell ref="AP21:AQ21"/>
    <mergeCell ref="AR21:AS21"/>
    <mergeCell ref="AT21:AU21"/>
    <mergeCell ref="AV21:AW21"/>
    <mergeCell ref="AX21:AY21"/>
    <mergeCell ref="AD22:AE22"/>
    <mergeCell ref="AF22:AG22"/>
    <mergeCell ref="AH22:AI22"/>
    <mergeCell ref="AJ22:AK22"/>
    <mergeCell ref="AL22:AM22"/>
    <mergeCell ref="AN22:AO22"/>
    <mergeCell ref="AP22:AQ22"/>
    <mergeCell ref="AR22:AS22"/>
    <mergeCell ref="AT22:AU22"/>
    <mergeCell ref="AV22:AW22"/>
    <mergeCell ref="AX22:AY22"/>
    <mergeCell ref="AD23:AE23"/>
    <mergeCell ref="AF23:AG23"/>
    <mergeCell ref="AH23:AI23"/>
    <mergeCell ref="AJ23:AK23"/>
    <mergeCell ref="AL23:AM23"/>
    <mergeCell ref="AN23:AO23"/>
    <mergeCell ref="AP23:AQ23"/>
    <mergeCell ref="AR23:AS23"/>
    <mergeCell ref="AT23:AU23"/>
    <mergeCell ref="AV23:AW23"/>
    <mergeCell ref="AX23:AY23"/>
    <mergeCell ref="AD24:AE24"/>
    <mergeCell ref="AF24:AG24"/>
    <mergeCell ref="AH24:AI24"/>
    <mergeCell ref="AJ24:AK24"/>
    <mergeCell ref="AL24:AM24"/>
    <mergeCell ref="AN24:AO24"/>
    <mergeCell ref="AP24:AQ24"/>
    <mergeCell ref="AR24:AS24"/>
    <mergeCell ref="AT24:AU24"/>
    <mergeCell ref="AV24:AW24"/>
    <mergeCell ref="AX24:AY24"/>
    <mergeCell ref="AD25:AE25"/>
    <mergeCell ref="AF25:AG25"/>
    <mergeCell ref="AH25:AI25"/>
    <mergeCell ref="AJ25:AK25"/>
    <mergeCell ref="AL25:AM25"/>
    <mergeCell ref="AN25:AO25"/>
    <mergeCell ref="AP25:AQ25"/>
    <mergeCell ref="AR25:AS25"/>
    <mergeCell ref="AT25:AU25"/>
    <mergeCell ref="AV25:AW25"/>
    <mergeCell ref="AX25:AY25"/>
    <mergeCell ref="J26:L26"/>
    <mergeCell ref="M26:O26"/>
    <mergeCell ref="P26:S26"/>
    <mergeCell ref="AD26:AE26"/>
    <mergeCell ref="AF26:AG26"/>
    <mergeCell ref="AH26:AI26"/>
    <mergeCell ref="AJ26:AK26"/>
    <mergeCell ref="AL26:AM26"/>
    <mergeCell ref="AN26:AO26"/>
    <mergeCell ref="AP26:AQ26"/>
    <mergeCell ref="AR26:AS26"/>
    <mergeCell ref="AT26:AU26"/>
    <mergeCell ref="AV26:AW26"/>
    <mergeCell ref="AX26:AY26"/>
    <mergeCell ref="M27:O27"/>
    <mergeCell ref="P27:S27"/>
    <mergeCell ref="AD27:AE27"/>
    <mergeCell ref="AF27:AG27"/>
    <mergeCell ref="AH27:AI27"/>
    <mergeCell ref="AJ27:AK27"/>
    <mergeCell ref="AL27:AM27"/>
    <mergeCell ref="AN27:AO27"/>
    <mergeCell ref="AP27:AQ27"/>
    <mergeCell ref="AR27:AS27"/>
    <mergeCell ref="AT27:AU27"/>
    <mergeCell ref="AV27:AW27"/>
    <mergeCell ref="AX27:AY27"/>
    <mergeCell ref="M28:O28"/>
    <mergeCell ref="AD28:AE28"/>
    <mergeCell ref="AF28:AG28"/>
    <mergeCell ref="AH28:AI28"/>
    <mergeCell ref="AJ28:AK28"/>
    <mergeCell ref="AL28:AM28"/>
    <mergeCell ref="AN28:AO28"/>
    <mergeCell ref="AP28:AQ28"/>
    <mergeCell ref="AR28:AS28"/>
    <mergeCell ref="AT28:AU28"/>
    <mergeCell ref="AV28:AW28"/>
    <mergeCell ref="AX28:AY28"/>
    <mergeCell ref="M29:O29"/>
    <mergeCell ref="AD29:AE29"/>
    <mergeCell ref="AF29:AG29"/>
    <mergeCell ref="AH29:AI29"/>
    <mergeCell ref="AJ29:AK29"/>
    <mergeCell ref="AL29:AM29"/>
    <mergeCell ref="AN29:AO29"/>
    <mergeCell ref="AP29:AQ29"/>
    <mergeCell ref="AR29:AS29"/>
    <mergeCell ref="AT29:AU29"/>
    <mergeCell ref="AV29:AW29"/>
    <mergeCell ref="AX29:AY29"/>
    <mergeCell ref="M30:O30"/>
    <mergeCell ref="AD30:AE30"/>
    <mergeCell ref="AF30:AG30"/>
    <mergeCell ref="AH30:AI30"/>
    <mergeCell ref="AJ30:AK30"/>
    <mergeCell ref="AL30:AM30"/>
    <mergeCell ref="AN30:AO30"/>
    <mergeCell ref="AP30:AQ30"/>
    <mergeCell ref="AR30:AS30"/>
    <mergeCell ref="AT30:AU30"/>
    <mergeCell ref="AV30:AW30"/>
    <mergeCell ref="AX30:AY30"/>
    <mergeCell ref="M31:O31"/>
    <mergeCell ref="AD31:AE31"/>
    <mergeCell ref="AF31:AG31"/>
    <mergeCell ref="AH31:AI31"/>
    <mergeCell ref="AJ31:AK31"/>
    <mergeCell ref="AL31:AM31"/>
    <mergeCell ref="AN31:AO31"/>
    <mergeCell ref="AP31:AQ31"/>
    <mergeCell ref="AR31:AS31"/>
    <mergeCell ref="AT31:AU31"/>
    <mergeCell ref="AV31:AW31"/>
    <mergeCell ref="AX31:AY31"/>
    <mergeCell ref="H32:L32"/>
    <mergeCell ref="M32:O32"/>
    <mergeCell ref="P32:S32"/>
    <mergeCell ref="AD32:AE32"/>
    <mergeCell ref="AF32:AG32"/>
    <mergeCell ref="AH32:AI32"/>
    <mergeCell ref="AJ32:AK32"/>
    <mergeCell ref="AL32:AM32"/>
    <mergeCell ref="AN32:AO32"/>
    <mergeCell ref="AP32:AQ32"/>
    <mergeCell ref="AR32:AS32"/>
    <mergeCell ref="AT32:AU32"/>
    <mergeCell ref="AV32:AW32"/>
    <mergeCell ref="AX32:AY32"/>
    <mergeCell ref="AD33:AE33"/>
    <mergeCell ref="AF33:AG33"/>
    <mergeCell ref="AH33:AI33"/>
    <mergeCell ref="AJ33:AK33"/>
    <mergeCell ref="AL33:AM33"/>
    <mergeCell ref="AN33:AO33"/>
    <mergeCell ref="AP33:AQ33"/>
    <mergeCell ref="AR33:AS33"/>
    <mergeCell ref="AT33:AU33"/>
    <mergeCell ref="AV33:AW33"/>
    <mergeCell ref="AX33:AY33"/>
    <mergeCell ref="AD34:AE34"/>
    <mergeCell ref="AF34:AG34"/>
    <mergeCell ref="AH34:AI34"/>
    <mergeCell ref="AJ34:AK34"/>
    <mergeCell ref="AL34:AM34"/>
    <mergeCell ref="AN34:AO34"/>
    <mergeCell ref="AP34:AQ34"/>
    <mergeCell ref="AR34:AS34"/>
    <mergeCell ref="AT34:AU34"/>
    <mergeCell ref="AV34:AW34"/>
    <mergeCell ref="AX34:AY34"/>
    <mergeCell ref="AD35:AE35"/>
    <mergeCell ref="AF35:AG35"/>
    <mergeCell ref="AH35:AI35"/>
    <mergeCell ref="AJ35:AK35"/>
    <mergeCell ref="AL35:AM35"/>
    <mergeCell ref="AN35:AO35"/>
    <mergeCell ref="AP35:AQ35"/>
    <mergeCell ref="AR35:AS35"/>
    <mergeCell ref="AT35:AU35"/>
    <mergeCell ref="AV35:AW35"/>
    <mergeCell ref="AX35:AY35"/>
    <mergeCell ref="J36:L36"/>
    <mergeCell ref="M36:O36"/>
    <mergeCell ref="W36:Y36"/>
    <mergeCell ref="AD36:AE36"/>
    <mergeCell ref="AF36:AG36"/>
    <mergeCell ref="AH36:AI36"/>
    <mergeCell ref="AJ36:AK36"/>
    <mergeCell ref="AL36:AM36"/>
    <mergeCell ref="AN36:AO36"/>
    <mergeCell ref="AP36:AQ36"/>
    <mergeCell ref="AR36:AS36"/>
    <mergeCell ref="AT36:AU36"/>
    <mergeCell ref="AV36:AW36"/>
    <mergeCell ref="AX36:AY36"/>
    <mergeCell ref="M37:O37"/>
    <mergeCell ref="AD37:AE37"/>
    <mergeCell ref="AF37:AG37"/>
    <mergeCell ref="AH37:AI37"/>
    <mergeCell ref="AJ37:AK37"/>
    <mergeCell ref="AL37:AM37"/>
    <mergeCell ref="AN37:AO37"/>
    <mergeCell ref="AP37:AQ37"/>
    <mergeCell ref="AR37:AS37"/>
    <mergeCell ref="AT37:AU37"/>
    <mergeCell ref="AV37:AW37"/>
    <mergeCell ref="AX37:AY37"/>
    <mergeCell ref="M38:O38"/>
    <mergeCell ref="AD38:AE38"/>
    <mergeCell ref="AF38:AG38"/>
    <mergeCell ref="AH38:AI38"/>
    <mergeCell ref="AJ38:AK38"/>
    <mergeCell ref="AL38:AM38"/>
    <mergeCell ref="AN38:AO38"/>
    <mergeCell ref="AP38:AQ38"/>
    <mergeCell ref="AR38:AS38"/>
    <mergeCell ref="AT38:AU38"/>
    <mergeCell ref="AV38:AW38"/>
    <mergeCell ref="AX38:AY38"/>
    <mergeCell ref="M39:O39"/>
    <mergeCell ref="AD39:AE39"/>
    <mergeCell ref="AF39:AG39"/>
    <mergeCell ref="AH39:AI39"/>
    <mergeCell ref="AJ39:AK39"/>
    <mergeCell ref="AL39:AM39"/>
    <mergeCell ref="AN39:AO39"/>
    <mergeCell ref="AP39:AQ39"/>
    <mergeCell ref="AR39:AS39"/>
    <mergeCell ref="AT39:AU39"/>
    <mergeCell ref="AV39:AW39"/>
    <mergeCell ref="AX39:AY39"/>
    <mergeCell ref="M40:O40"/>
    <mergeCell ref="AD40:AE40"/>
    <mergeCell ref="AF40:AG40"/>
    <mergeCell ref="AH40:AI40"/>
    <mergeCell ref="AJ40:AK40"/>
    <mergeCell ref="AL40:AM40"/>
    <mergeCell ref="AN40:AO40"/>
    <mergeCell ref="AP40:AQ40"/>
    <mergeCell ref="AR40:AS40"/>
    <mergeCell ref="AT40:AU40"/>
    <mergeCell ref="AV40:AW40"/>
    <mergeCell ref="AX40:AY40"/>
    <mergeCell ref="M41:O41"/>
    <mergeCell ref="AD41:AE41"/>
    <mergeCell ref="AF41:AG41"/>
    <mergeCell ref="AH41:AI41"/>
    <mergeCell ref="AJ41:AK41"/>
    <mergeCell ref="AL41:AM41"/>
    <mergeCell ref="AN41:AO41"/>
    <mergeCell ref="AP41:AQ41"/>
    <mergeCell ref="AR41:AS41"/>
    <mergeCell ref="AT41:AU41"/>
    <mergeCell ref="AV41:AW41"/>
    <mergeCell ref="AX41:AY41"/>
    <mergeCell ref="Q42:T42"/>
    <mergeCell ref="AD42:AE42"/>
    <mergeCell ref="AF42:AG42"/>
    <mergeCell ref="AH42:AI42"/>
    <mergeCell ref="AJ42:AK42"/>
    <mergeCell ref="AL42:AM42"/>
    <mergeCell ref="AN42:AO42"/>
    <mergeCell ref="AP42:AQ42"/>
    <mergeCell ref="AR42:AS42"/>
    <mergeCell ref="AT42:AU42"/>
    <mergeCell ref="AV42:AW42"/>
    <mergeCell ref="AX42:AY42"/>
    <mergeCell ref="J45:L45"/>
    <mergeCell ref="Q45:R45"/>
    <mergeCell ref="W45:Y45"/>
    <mergeCell ref="Q51:T51"/>
    <mergeCell ref="J54:L54"/>
    <mergeCell ref="Q54:R54"/>
    <mergeCell ref="W54:Y54"/>
    <mergeCell ref="Q60:T60"/>
    <mergeCell ref="J63:L63"/>
    <mergeCell ref="M63:O63"/>
    <mergeCell ref="Q63:R63"/>
    <mergeCell ref="W63:Y63"/>
    <mergeCell ref="M64:O64"/>
    <mergeCell ref="Q64:R64"/>
    <mergeCell ref="M65:O65"/>
    <mergeCell ref="Q65:R65"/>
    <mergeCell ref="M66:O66"/>
    <mergeCell ref="Q66:R66"/>
    <mergeCell ref="M67:O67"/>
    <mergeCell ref="Q67:R67"/>
    <mergeCell ref="M68:O68"/>
    <mergeCell ref="Q68:R68"/>
    <mergeCell ref="Q69:T69"/>
    <mergeCell ref="J72:L72"/>
    <mergeCell ref="I81:N81"/>
    <mergeCell ref="P81:Q81"/>
    <mergeCell ref="T81:U81"/>
    <mergeCell ref="I82:N82"/>
    <mergeCell ref="P82:Q82"/>
    <mergeCell ref="T82:U82"/>
    <mergeCell ref="I83:N83"/>
    <mergeCell ref="P83:Q83"/>
    <mergeCell ref="T83:U83"/>
    <mergeCell ref="I84:N84"/>
    <mergeCell ref="P84:Q84"/>
    <mergeCell ref="S84:U84"/>
    <mergeCell ref="I85:N85"/>
    <mergeCell ref="P85:Q85"/>
    <mergeCell ref="I87:J87"/>
    <mergeCell ref="AA2:AA5"/>
    <mergeCell ref="AB2:AB5"/>
    <mergeCell ref="AC2:AC5"/>
    <mergeCell ref="V8:W12"/>
    <mergeCell ref="V17:W21"/>
  </mergeCells>
  <phoneticPr fontId="7"/>
  <conditionalFormatting sqref="T17:T21">
    <cfRule type="cellIs" dxfId="1" priority="1" stopIfTrue="1" operator="lessThan">
      <formula>100000</formula>
    </cfRule>
  </conditionalFormatting>
  <pageMargins left="0.78740157480314965" right="0.31496062992125984" top="0.31496062992125984" bottom="0.23622047244094491" header="0.19685039370078741" footer="0.19685039370078741"/>
  <pageSetup paperSize="9" scale="47" fitToWidth="0" fitToHeight="1" orientation="portrait" usePrinterDefaults="1" r:id="rId1"/>
  <headerFooter alignWithMargins="0">
    <oddFooter>&amp;R&amp;A</oddFooter>
  </headerFooter>
  <colBreaks count="3" manualBreakCount="3">
    <brk id="25" max="76" man="1"/>
    <brk id="37" max="79" man="1"/>
    <brk id="47" max="76" man="1"/>
  </colBreaks>
  <drawing r:id="rId2"/>
  <legacyDrawing r:id="rId3"/>
  <oleObjects>
    <mc:AlternateContent>
      <mc:Choice xmlns:x14="http://schemas.microsoft.com/office/spreadsheetml/2009/9/main" Requires="x14">
        <oleObject progId="Excel.Sheet.8" shapeId="150529" r:id="rId4">
          <objectPr defaultSize="0" r:id="rId5">
            <anchor moveWithCells="1" sizeWithCells="1">
              <from xmlns:xdr="http://schemas.openxmlformats.org/drawingml/2006/spreadsheetDrawing">
                <xdr:col>8</xdr:col>
                <xdr:colOff>57150</xdr:colOff>
                <xdr:row>80</xdr:row>
                <xdr:rowOff>0</xdr:rowOff>
              </from>
              <to xmlns:xdr="http://schemas.openxmlformats.org/drawingml/2006/spreadsheetDrawing">
                <xdr:col>17</xdr:col>
                <xdr:colOff>171450</xdr:colOff>
                <xdr:row>84</xdr:row>
                <xdr:rowOff>171450</xdr:rowOff>
              </to>
            </anchor>
          </objectPr>
        </oleObject>
      </mc:Choice>
      <mc:Fallback>
        <oleObject progId="Excel.Sheet.8" shapeId="150529" r:id="rId4"/>
      </mc:Fallback>
    </mc:AlternateContent>
  </oleObjects>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BF87"/>
  <sheetViews>
    <sheetView view="pageBreakPreview" topLeftCell="H1" zoomScale="85" zoomScaleNormal="75" zoomScaleSheetLayoutView="85" workbookViewId="0">
      <selection activeCell="AL8" sqref="AL8:AM8"/>
    </sheetView>
  </sheetViews>
  <sheetFormatPr defaultRowHeight="14.25"/>
  <cols>
    <col min="1" max="1" width="10" style="461" hidden="1" customWidth="1"/>
    <col min="2" max="2" width="12.125" style="461" hidden="1" customWidth="1"/>
    <col min="3" max="6" width="8" style="461" hidden="1" customWidth="1"/>
    <col min="7" max="7" width="10.875" style="461" hidden="1" customWidth="1"/>
    <col min="8" max="8" width="4.75" style="462" customWidth="1"/>
    <col min="9" max="9" width="20.75" style="462" customWidth="1"/>
    <col min="10" max="10" width="4.75" style="462" customWidth="1"/>
    <col min="11" max="11" width="1.75" style="462" customWidth="1"/>
    <col min="12" max="12" width="6.75" style="462" customWidth="1"/>
    <col min="13" max="13" width="14.75" style="462" customWidth="1"/>
    <col min="14" max="14" width="4" style="462" customWidth="1"/>
    <col min="15" max="15" width="11.5" style="462" customWidth="1"/>
    <col min="16" max="16" width="2.625" style="462" customWidth="1"/>
    <col min="17" max="17" width="6" style="462" customWidth="1"/>
    <col min="18" max="18" width="13" style="462" customWidth="1"/>
    <col min="19" max="19" width="3.375" style="463" customWidth="1"/>
    <col min="20" max="20" width="21.125" style="462" customWidth="1"/>
    <col min="21" max="21" width="3.375" style="463" customWidth="1"/>
    <col min="22" max="22" width="26.25" style="462" customWidth="1"/>
    <col min="23" max="25" width="8" style="462" customWidth="1"/>
    <col min="26" max="26" width="2.875" style="461" customWidth="1"/>
    <col min="27" max="27" width="5.875" style="461" customWidth="1"/>
    <col min="28" max="28" width="17.625" style="461" customWidth="1"/>
    <col min="29" max="29" width="12.75" style="464" customWidth="1"/>
    <col min="30" max="30" width="17" style="461" customWidth="1"/>
    <col min="31" max="31" width="15.5" style="461" customWidth="1"/>
    <col min="32" max="32" width="17" style="461" customWidth="1"/>
    <col min="33" max="33" width="15.5" style="461" customWidth="1"/>
    <col min="34" max="34" width="17" style="461" customWidth="1"/>
    <col min="35" max="35" width="15.5" style="461" customWidth="1"/>
    <col min="36" max="36" width="17" style="461" customWidth="1"/>
    <col min="37" max="37" width="15.5" style="461" customWidth="1"/>
    <col min="38" max="38" width="17" style="461" customWidth="1"/>
    <col min="39" max="39" width="15.5" style="461" customWidth="1"/>
    <col min="40" max="40" width="17" style="461" customWidth="1"/>
    <col min="41" max="41" width="15.5" style="461" customWidth="1"/>
    <col min="42" max="42" width="17" style="461" customWidth="1"/>
    <col min="43" max="43" width="15.5" style="461" customWidth="1"/>
    <col min="44" max="44" width="17" style="461" customWidth="1"/>
    <col min="45" max="45" width="15.5" style="461" customWidth="1"/>
    <col min="46" max="46" width="17" style="461" customWidth="1"/>
    <col min="47" max="47" width="15.5" style="461" customWidth="1"/>
    <col min="48" max="48" width="17" style="461" customWidth="1"/>
    <col min="49" max="49" width="15.5" style="461" customWidth="1"/>
    <col min="50" max="50" width="17" style="461" customWidth="1"/>
    <col min="51" max="51" width="15.5" style="461" customWidth="1"/>
    <col min="52" max="16384" width="9" style="461" customWidth="1"/>
  </cols>
  <sheetData>
    <row r="1" spans="1:58" ht="48.75" customHeight="1">
      <c r="G1" s="461">
        <f>YEAR(VALUE("R"&amp;H1&amp;"/1/1"))</f>
        <v>2025</v>
      </c>
      <c r="H1" s="465">
        <f>'2-1（収支報告書　記載例）'!A9</f>
        <v>7</v>
      </c>
      <c r="I1" s="465"/>
      <c r="J1" s="465"/>
      <c r="K1" s="465"/>
      <c r="L1" s="465"/>
      <c r="M1" s="465"/>
      <c r="N1" s="465"/>
      <c r="O1" s="465"/>
      <c r="P1" s="465"/>
      <c r="Q1" s="465"/>
      <c r="R1" s="465"/>
      <c r="S1" s="465"/>
      <c r="T1" s="465"/>
      <c r="U1" s="465"/>
      <c r="V1" s="465"/>
      <c r="W1" s="465"/>
      <c r="X1" s="465"/>
      <c r="Y1" s="465"/>
      <c r="AA1" s="647" t="s">
        <v>214</v>
      </c>
      <c r="AE1" s="673"/>
      <c r="AG1" s="673"/>
      <c r="BF1" s="568" t="s">
        <v>215</v>
      </c>
    </row>
    <row r="2" spans="1:58" ht="29.25" customHeight="1">
      <c r="H2" s="466" t="s">
        <v>135</v>
      </c>
      <c r="I2" s="466"/>
      <c r="J2" s="466"/>
      <c r="K2" s="466"/>
      <c r="L2" s="466"/>
      <c r="M2" s="466"/>
      <c r="N2" s="466"/>
      <c r="O2" s="466"/>
      <c r="P2" s="466"/>
      <c r="Q2" s="466"/>
      <c r="R2" s="466"/>
      <c r="S2" s="466"/>
      <c r="T2" s="466"/>
      <c r="U2" s="466"/>
      <c r="V2" s="466"/>
      <c r="W2" s="466"/>
      <c r="X2" s="466"/>
      <c r="Y2" s="466"/>
      <c r="AA2" s="648" t="s">
        <v>106</v>
      </c>
      <c r="AB2" s="652" t="s">
        <v>216</v>
      </c>
      <c r="AC2" s="659" t="s">
        <v>218</v>
      </c>
      <c r="AD2" s="665" t="s">
        <v>205</v>
      </c>
      <c r="AE2" s="655" t="str">
        <f>VLOOKUP(1,$A$8:$O$21,2,FALSE)</f>
        <v>当年</v>
      </c>
      <c r="AF2" s="665" t="s">
        <v>205</v>
      </c>
      <c r="AG2" s="655" t="str">
        <f>VLOOKUP(2,$A$8:$O$21,2,FALSE)</f>
        <v>当年</v>
      </c>
      <c r="AH2" s="665" t="s">
        <v>205</v>
      </c>
      <c r="AI2" s="683" t="str">
        <f>VLOOKUP(3,$A$8:$O$21,2,FALSE)</f>
        <v>過年</v>
      </c>
      <c r="AJ2" s="665" t="s">
        <v>205</v>
      </c>
      <c r="AK2" s="683" t="str">
        <f>VLOOKUP(4,$A$8:$O$21,2,FALSE)</f>
        <v>過年</v>
      </c>
      <c r="AL2" s="665" t="s">
        <v>205</v>
      </c>
      <c r="AM2" s="683" t="str">
        <f>VLOOKUP(5,$A$8:$O$21,2,FALSE)</f>
        <v>過年</v>
      </c>
      <c r="AN2" s="665" t="s">
        <v>205</v>
      </c>
      <c r="AO2" s="683" t="e">
        <f>VLOOKUP(6,$A$8:$O$21,2,FALSE)</f>
        <v>#N/A</v>
      </c>
      <c r="AP2" s="665" t="s">
        <v>205</v>
      </c>
      <c r="AQ2" s="683" t="e">
        <f>VLOOKUP(7,$A$8:$O$21,2,FALSE)</f>
        <v>#N/A</v>
      </c>
      <c r="AR2" s="665" t="s">
        <v>205</v>
      </c>
      <c r="AS2" s="683" t="e">
        <f>VLOOKUP(8,$A$8:$O$21,2,FALSE)</f>
        <v>#N/A</v>
      </c>
      <c r="AT2" s="665" t="s">
        <v>205</v>
      </c>
      <c r="AU2" s="683" t="e">
        <f>VLOOKUP(9,$A$8:$O$21,2,FALSE)</f>
        <v>#N/A</v>
      </c>
      <c r="AV2" s="665" t="s">
        <v>205</v>
      </c>
      <c r="AW2" s="683" t="e">
        <f>VLOOKUP(10,$A$8:$O$21,2,FALSE)</f>
        <v>#N/A</v>
      </c>
      <c r="AX2" s="665" t="s">
        <v>205</v>
      </c>
      <c r="AY2" s="683" t="s">
        <v>84</v>
      </c>
    </row>
    <row r="3" spans="1:58" ht="31.5" customHeight="1">
      <c r="H3" s="466"/>
      <c r="I3" s="466"/>
      <c r="J3" s="466"/>
      <c r="K3" s="466"/>
      <c r="L3" s="466"/>
      <c r="M3" s="466"/>
      <c r="N3" s="466"/>
      <c r="X3" s="633"/>
      <c r="Y3" s="633"/>
      <c r="AA3" s="649"/>
      <c r="AB3" s="653"/>
      <c r="AC3" s="660"/>
      <c r="AD3" s="666" t="s">
        <v>90</v>
      </c>
      <c r="AE3" s="674" t="str">
        <f>VLOOKUP(1,$A$8:$O$21,9,FALSE)</f>
        <v>草刈り機</v>
      </c>
      <c r="AF3" s="666" t="s">
        <v>90</v>
      </c>
      <c r="AG3" s="674" t="str">
        <f>VLOOKUP(2,$A$8:$O$21,9,FALSE)</f>
        <v>ラジコン草刈り機</v>
      </c>
      <c r="AH3" s="666" t="s">
        <v>90</v>
      </c>
      <c r="AI3" s="674" t="str">
        <f>VLOOKUP(3,$A$8:$O$21,9,FALSE)</f>
        <v>トラクタ</v>
      </c>
      <c r="AJ3" s="666" t="s">
        <v>90</v>
      </c>
      <c r="AK3" s="674" t="str">
        <f>VLOOKUP(4,$A$8:$O$21,9,FALSE)</f>
        <v>農薬撒布用ドローン</v>
      </c>
      <c r="AL3" s="666" t="s">
        <v>90</v>
      </c>
      <c r="AM3" s="674" t="str">
        <f>VLOOKUP(5,$A$8:$O$21,9,FALSE)</f>
        <v>コンバイン</v>
      </c>
      <c r="AN3" s="666" t="s">
        <v>90</v>
      </c>
      <c r="AO3" s="674" t="e">
        <f>VLOOKUP(6,$A$8:$O$21,9,FALSE)</f>
        <v>#N/A</v>
      </c>
      <c r="AP3" s="666" t="s">
        <v>90</v>
      </c>
      <c r="AQ3" s="674" t="e">
        <f>VLOOKUP(7,$A$8:$O$21,9,FALSE)</f>
        <v>#N/A</v>
      </c>
      <c r="AR3" s="666" t="s">
        <v>90</v>
      </c>
      <c r="AS3" s="674" t="e">
        <f>VLOOKUP(8,$A$8:$O$21,9,FALSE)</f>
        <v>#N/A</v>
      </c>
      <c r="AT3" s="666" t="s">
        <v>90</v>
      </c>
      <c r="AU3" s="674" t="e">
        <f>VLOOKUP(9,$A$8:$O$21,9,FALSE)</f>
        <v>#N/A</v>
      </c>
      <c r="AV3" s="666" t="s">
        <v>90</v>
      </c>
      <c r="AW3" s="674" t="e">
        <f>VLOOKUP(10,$A$8:$O$21,7,FALSE)</f>
        <v>#N/A</v>
      </c>
      <c r="AX3" s="666" t="s">
        <v>90</v>
      </c>
      <c r="AY3" s="686" t="s">
        <v>137</v>
      </c>
    </row>
    <row r="4" spans="1:58" ht="24" customHeight="1">
      <c r="H4" s="466"/>
      <c r="I4" s="466"/>
      <c r="J4" s="466"/>
      <c r="K4" s="466"/>
      <c r="L4" s="466"/>
      <c r="M4" s="466"/>
      <c r="N4" s="466"/>
      <c r="O4" s="545" t="str">
        <f>'2-1（収支報告書　記載例）'!A1</f>
        <v>協定No.</v>
      </c>
      <c r="P4" s="545"/>
      <c r="Q4" s="545"/>
      <c r="R4" s="545"/>
      <c r="T4" s="578" t="s">
        <v>327</v>
      </c>
      <c r="U4" s="590" t="str">
        <f>IF('2-1（収支報告書　記載例）'!E6="","",'2-1（収支報告書　記載例）'!E6)</f>
        <v>〇〇〇〇</v>
      </c>
      <c r="V4" s="590"/>
      <c r="W4" s="590"/>
      <c r="X4" s="466"/>
      <c r="Y4" s="466"/>
      <c r="AA4" s="649"/>
      <c r="AB4" s="653"/>
      <c r="AC4" s="660"/>
      <c r="AD4" s="667" t="s">
        <v>80</v>
      </c>
      <c r="AE4" s="675">
        <f>SUM(AD6:AE42)</f>
        <v>199992</v>
      </c>
      <c r="AF4" s="667" t="s">
        <v>80</v>
      </c>
      <c r="AG4" s="675">
        <f>SUM(AF6:AG42)</f>
        <v>178750</v>
      </c>
      <c r="AH4" s="667" t="s">
        <v>80</v>
      </c>
      <c r="AI4" s="675">
        <f>SUM(AH6:AI42)</f>
        <v>300000</v>
      </c>
      <c r="AJ4" s="667" t="s">
        <v>80</v>
      </c>
      <c r="AK4" s="675">
        <f>SUM(AJ6:AK42)</f>
        <v>357492</v>
      </c>
      <c r="AL4" s="667" t="s">
        <v>80</v>
      </c>
      <c r="AM4" s="675">
        <f>SUM(AL6:AM42)</f>
        <v>91332</v>
      </c>
      <c r="AN4" s="667" t="s">
        <v>80</v>
      </c>
      <c r="AO4" s="675">
        <f>SUM(AN6:AO42)</f>
        <v>0</v>
      </c>
      <c r="AP4" s="667" t="s">
        <v>80</v>
      </c>
      <c r="AQ4" s="675">
        <f>SUM(AP6:AQ42)</f>
        <v>0</v>
      </c>
      <c r="AR4" s="667" t="s">
        <v>80</v>
      </c>
      <c r="AS4" s="675">
        <f>SUM(AR6:AS42)</f>
        <v>0</v>
      </c>
      <c r="AT4" s="667" t="s">
        <v>80</v>
      </c>
      <c r="AU4" s="675">
        <f>SUM(AT6:AU42)</f>
        <v>0</v>
      </c>
      <c r="AV4" s="667" t="s">
        <v>80</v>
      </c>
      <c r="AW4" s="675">
        <f>SUM(AV6:AW42)</f>
        <v>0</v>
      </c>
      <c r="AX4" s="667" t="s">
        <v>80</v>
      </c>
      <c r="AY4" s="675">
        <f>SUM(AX6:AY42)</f>
        <v>1</v>
      </c>
    </row>
    <row r="5" spans="1:58" ht="24" customHeight="1">
      <c r="H5" s="466"/>
      <c r="I5" s="466"/>
      <c r="J5" s="466"/>
      <c r="K5" s="466"/>
      <c r="L5" s="466"/>
      <c r="M5" s="466"/>
      <c r="N5" s="466"/>
      <c r="O5" s="466"/>
      <c r="P5" s="466"/>
      <c r="Q5" s="466"/>
      <c r="R5" s="466"/>
      <c r="S5" s="466"/>
      <c r="T5" s="466"/>
      <c r="U5" s="466"/>
      <c r="V5" s="466"/>
      <c r="W5" s="466"/>
      <c r="X5" s="466"/>
      <c r="Y5" s="466"/>
      <c r="AA5" s="650"/>
      <c r="AB5" s="654"/>
      <c r="AC5" s="661"/>
      <c r="AD5" s="668" t="s">
        <v>122</v>
      </c>
      <c r="AE5" s="676"/>
      <c r="AF5" s="681" t="s">
        <v>122</v>
      </c>
      <c r="AG5" s="682"/>
      <c r="AH5" s="681" t="s">
        <v>122</v>
      </c>
      <c r="AI5" s="682"/>
      <c r="AJ5" s="681" t="s">
        <v>122</v>
      </c>
      <c r="AK5" s="682"/>
      <c r="AL5" s="681" t="s">
        <v>122</v>
      </c>
      <c r="AM5" s="682"/>
      <c r="AN5" s="681" t="s">
        <v>122</v>
      </c>
      <c r="AO5" s="682"/>
      <c r="AP5" s="681" t="s">
        <v>122</v>
      </c>
      <c r="AQ5" s="682"/>
      <c r="AR5" s="681" t="s">
        <v>122</v>
      </c>
      <c r="AS5" s="682"/>
      <c r="AT5" s="681" t="s">
        <v>122</v>
      </c>
      <c r="AU5" s="682"/>
      <c r="AV5" s="681" t="s">
        <v>122</v>
      </c>
      <c r="AW5" s="682"/>
      <c r="AX5" s="681" t="s">
        <v>122</v>
      </c>
      <c r="AY5" s="682"/>
    </row>
    <row r="6" spans="1:58" ht="24" customHeight="1">
      <c r="H6" s="467" t="s">
        <v>12</v>
      </c>
      <c r="P6" s="557"/>
      <c r="AA6" s="651">
        <v>1</v>
      </c>
      <c r="AB6" s="655" t="str">
        <f>IF('2-1（収支報告書　記載例）'!$A40="","",'2-1（収支報告書　記載例）'!$A40)</f>
        <v>島根　１郎</v>
      </c>
      <c r="AC6" s="662">
        <f t="shared" ref="AC6:AC42" si="0">SUM(AD6:CK6)</f>
        <v>108162</v>
      </c>
      <c r="AD6" s="669">
        <v>15384</v>
      </c>
      <c r="AE6" s="677"/>
      <c r="AF6" s="669">
        <v>17875</v>
      </c>
      <c r="AG6" s="677"/>
      <c r="AH6" s="669">
        <v>37500</v>
      </c>
      <c r="AI6" s="677"/>
      <c r="AJ6" s="684">
        <v>29791</v>
      </c>
      <c r="AK6" s="685"/>
      <c r="AL6" s="684">
        <v>7611</v>
      </c>
      <c r="AM6" s="685"/>
      <c r="AN6" s="684"/>
      <c r="AO6" s="685"/>
      <c r="AP6" s="684"/>
      <c r="AQ6" s="685"/>
      <c r="AR6" s="684"/>
      <c r="AS6" s="685"/>
      <c r="AT6" s="684"/>
      <c r="AU6" s="685"/>
      <c r="AV6" s="684"/>
      <c r="AW6" s="685"/>
      <c r="AX6" s="684">
        <v>1</v>
      </c>
      <c r="AY6" s="685"/>
    </row>
    <row r="7" spans="1:58" ht="23.25" customHeight="1">
      <c r="A7" s="461" t="s">
        <v>76</v>
      </c>
      <c r="B7" s="461" t="s">
        <v>205</v>
      </c>
      <c r="C7" s="461" t="s">
        <v>220</v>
      </c>
      <c r="D7" s="461" t="s">
        <v>221</v>
      </c>
      <c r="E7" s="461" t="s">
        <v>81</v>
      </c>
      <c r="F7" s="461" t="s">
        <v>81</v>
      </c>
      <c r="H7" s="468"/>
      <c r="I7" s="475" t="s">
        <v>90</v>
      </c>
      <c r="J7" s="485" t="s">
        <v>223</v>
      </c>
      <c r="K7" s="504"/>
      <c r="L7" s="475"/>
      <c r="M7" s="520" t="s">
        <v>150</v>
      </c>
      <c r="N7" s="520"/>
      <c r="O7" s="485"/>
      <c r="P7" s="558" t="s">
        <v>224</v>
      </c>
      <c r="Q7" s="520" t="s">
        <v>212</v>
      </c>
      <c r="R7" s="520"/>
      <c r="S7" s="520" t="s">
        <v>225</v>
      </c>
      <c r="T7" s="579" t="s">
        <v>227</v>
      </c>
      <c r="U7" s="591"/>
      <c r="V7" s="485" t="s">
        <v>190</v>
      </c>
      <c r="W7" s="623"/>
      <c r="X7" s="634"/>
      <c r="Y7" s="463"/>
      <c r="AA7" s="649">
        <v>2</v>
      </c>
      <c r="AB7" s="655" t="str">
        <f>IF('2-1（収支報告書　記載例）'!$A41="","",'2-1（収支報告書　記載例）'!$A41)</f>
        <v>島根　２郎</v>
      </c>
      <c r="AC7" s="663">
        <f t="shared" si="0"/>
        <v>70661</v>
      </c>
      <c r="AD7" s="670">
        <v>15384</v>
      </c>
      <c r="AE7" s="678"/>
      <c r="AF7" s="670">
        <v>17875</v>
      </c>
      <c r="AG7" s="678"/>
      <c r="AH7" s="670"/>
      <c r="AI7" s="678"/>
      <c r="AJ7" s="671">
        <v>29791</v>
      </c>
      <c r="AK7" s="679"/>
      <c r="AL7" s="671">
        <v>7611</v>
      </c>
      <c r="AM7" s="679"/>
      <c r="AN7" s="671"/>
      <c r="AO7" s="679"/>
      <c r="AP7" s="671"/>
      <c r="AQ7" s="679"/>
      <c r="AR7" s="671"/>
      <c r="AS7" s="679"/>
      <c r="AT7" s="671"/>
      <c r="AU7" s="679"/>
      <c r="AV7" s="671"/>
      <c r="AW7" s="679"/>
      <c r="AX7" s="671"/>
      <c r="AY7" s="679"/>
    </row>
    <row r="8" spans="1:58" ht="23.25" customHeight="1">
      <c r="A8" s="461">
        <f>IF(ISTEXT(I8),1,"")</f>
        <v>1</v>
      </c>
      <c r="B8" s="461" t="s">
        <v>24</v>
      </c>
      <c r="C8" s="461">
        <f>IF($U8="ⓐ",COUNTIF($U$8:U8,"ⓐ"),"")</f>
        <v>1</v>
      </c>
      <c r="D8" s="461" t="str">
        <f>IF($U8="ⓑ",COUNTIF($U$8:V8,"ⓑ"),"")</f>
        <v/>
      </c>
      <c r="E8" s="461" t="str">
        <f>IF($U8="ⓒ",COUNTIF($U$8:W8,"ⓒ"),"")</f>
        <v/>
      </c>
      <c r="G8" s="461">
        <f>YEAR(VALUE(J8&amp;"/1/1"))</f>
        <v>2026</v>
      </c>
      <c r="H8" s="469">
        <v>1</v>
      </c>
      <c r="I8" s="476" t="s">
        <v>16</v>
      </c>
      <c r="J8" s="486" t="s">
        <v>250</v>
      </c>
      <c r="K8" s="494" t="s">
        <v>332</v>
      </c>
      <c r="L8" s="486">
        <v>5</v>
      </c>
      <c r="M8" s="521">
        <v>200000</v>
      </c>
      <c r="N8" s="521" t="e">
        <v>#N/A</v>
      </c>
      <c r="O8" s="546" t="e">
        <v>#N/A</v>
      </c>
      <c r="P8" s="559" t="s">
        <v>224</v>
      </c>
      <c r="Q8" s="566">
        <v>13</v>
      </c>
      <c r="R8" s="566"/>
      <c r="S8" s="498" t="s">
        <v>225</v>
      </c>
      <c r="T8" s="580">
        <f>IFERROR(IF(ISBLANK(M8),"",INT(M8/Q8)),"")</f>
        <v>15384</v>
      </c>
      <c r="U8" s="592" t="str">
        <f>IF(ISNUMBER(T8),IF(AND(T8&gt;0,T8&lt;100000),"ⓐ",IF(T8&gt;=200000,"ⓒ","ⓑ")),"")</f>
        <v>ⓐ</v>
      </c>
      <c r="V8" s="606" t="s">
        <v>228</v>
      </c>
      <c r="W8" s="624"/>
      <c r="X8" s="635"/>
      <c r="Y8" s="641"/>
      <c r="AA8" s="649">
        <v>3</v>
      </c>
      <c r="AB8" s="655" t="str">
        <f>IF('2-1（収支報告書　記載例）'!$A42="","",'2-1（収支報告書　記載例）'!$A42)</f>
        <v>島根　３郎</v>
      </c>
      <c r="AC8" s="663">
        <f t="shared" si="0"/>
        <v>108161</v>
      </c>
      <c r="AD8" s="670">
        <v>15384</v>
      </c>
      <c r="AE8" s="678"/>
      <c r="AF8" s="670">
        <v>17875</v>
      </c>
      <c r="AG8" s="678"/>
      <c r="AH8" s="670">
        <v>37500</v>
      </c>
      <c r="AI8" s="678"/>
      <c r="AJ8" s="671">
        <v>29791</v>
      </c>
      <c r="AK8" s="679"/>
      <c r="AL8" s="671">
        <v>7611</v>
      </c>
      <c r="AM8" s="679"/>
      <c r="AN8" s="671"/>
      <c r="AO8" s="679"/>
      <c r="AP8" s="671"/>
      <c r="AQ8" s="679"/>
      <c r="AR8" s="671"/>
      <c r="AS8" s="679"/>
      <c r="AT8" s="671"/>
      <c r="AU8" s="679"/>
      <c r="AV8" s="671"/>
      <c r="AW8" s="679"/>
      <c r="AX8" s="671"/>
      <c r="AY8" s="679"/>
    </row>
    <row r="9" spans="1:58" ht="23.25" customHeight="1">
      <c r="A9" s="461">
        <f>IF(ISTEXT(I9),1+A8,"")</f>
        <v>2</v>
      </c>
      <c r="B9" s="461" t="s">
        <v>24</v>
      </c>
      <c r="C9" s="461" t="str">
        <f>IF($U9="ⓐ",COUNTIF($U$8:U9,"ⓐ"),"")</f>
        <v/>
      </c>
      <c r="D9" s="461" t="str">
        <f>IF($U9="ⓑ",COUNTIF($U$8:V9,"ⓑ"),"")</f>
        <v/>
      </c>
      <c r="E9" s="461">
        <f>IF($U9="ⓒ",COUNTIF($U$8:W9,"ⓒ"),"")</f>
        <v>1</v>
      </c>
      <c r="G9" s="461">
        <f>YEAR(VALUE(J9&amp;"/1/1"))</f>
        <v>2026</v>
      </c>
      <c r="H9" s="469">
        <v>2</v>
      </c>
      <c r="I9" s="476" t="s">
        <v>329</v>
      </c>
      <c r="J9" s="487" t="s">
        <v>250</v>
      </c>
      <c r="K9" s="494" t="s">
        <v>332</v>
      </c>
      <c r="L9" s="486">
        <v>9</v>
      </c>
      <c r="M9" s="521">
        <v>3000000</v>
      </c>
      <c r="N9" s="521" t="e">
        <v>#N/A</v>
      </c>
      <c r="O9" s="546" t="e">
        <v>#N/A</v>
      </c>
      <c r="P9" s="559" t="s">
        <v>224</v>
      </c>
      <c r="Q9" s="566">
        <v>8</v>
      </c>
      <c r="R9" s="566"/>
      <c r="S9" s="498" t="s">
        <v>225</v>
      </c>
      <c r="T9" s="580">
        <f>IFERROR(IF(ISBLANK(M9),"",INT(M9/Q9)),"")</f>
        <v>375000</v>
      </c>
      <c r="U9" s="592" t="str">
        <f>IF(ISNUMBER(T9),IF(AND(T9&gt;0,T9&lt;100000),"ⓐ",IF(T9&gt;=200000,"ⓒ","ⓑ")),"")</f>
        <v>ⓒ</v>
      </c>
      <c r="V9" s="607"/>
      <c r="W9" s="625"/>
      <c r="X9" s="635"/>
      <c r="Y9" s="461"/>
      <c r="AA9" s="649">
        <v>4</v>
      </c>
      <c r="AB9" s="655" t="str">
        <f>IF('2-1（収支報告書　記載例）'!$A43="","",'2-1（収支報告書　記載例）'!$A43)</f>
        <v>島根　４郎</v>
      </c>
      <c r="AC9" s="663">
        <f t="shared" si="0"/>
        <v>52786</v>
      </c>
      <c r="AD9" s="670">
        <v>15384</v>
      </c>
      <c r="AE9" s="678"/>
      <c r="AF9" s="670"/>
      <c r="AG9" s="678"/>
      <c r="AH9" s="670"/>
      <c r="AI9" s="678"/>
      <c r="AJ9" s="670">
        <v>29791</v>
      </c>
      <c r="AK9" s="678"/>
      <c r="AL9" s="670">
        <v>7611</v>
      </c>
      <c r="AM9" s="678"/>
      <c r="AN9" s="670"/>
      <c r="AO9" s="678"/>
      <c r="AP9" s="670"/>
      <c r="AQ9" s="678"/>
      <c r="AR9" s="670"/>
      <c r="AS9" s="678"/>
      <c r="AT9" s="670"/>
      <c r="AU9" s="678"/>
      <c r="AV9" s="670"/>
      <c r="AW9" s="678"/>
      <c r="AX9" s="670"/>
      <c r="AY9" s="678"/>
    </row>
    <row r="10" spans="1:58" ht="23.25" customHeight="1">
      <c r="A10" s="461" t="str">
        <f>IF(ISTEXT(I10),1+A9,"")</f>
        <v/>
      </c>
      <c r="B10" s="461" t="s">
        <v>24</v>
      </c>
      <c r="C10" s="461" t="str">
        <f>IF($U10="ⓐ",COUNTIF($U$8:U10,"ⓐ"),"")</f>
        <v/>
      </c>
      <c r="D10" s="461" t="str">
        <f>IF($U10="ⓑ",COUNTIF($U$8:V10,"ⓑ"),"")</f>
        <v/>
      </c>
      <c r="E10" s="461" t="str">
        <f>IF($U10="ⓒ",COUNTIF($U$8:W10,"ⓒ"),"")</f>
        <v/>
      </c>
      <c r="G10" s="461" t="e">
        <f>YEAR(VALUE(J10&amp;"/1/1"))</f>
        <v>#VALUE!</v>
      </c>
      <c r="H10" s="469">
        <v>3</v>
      </c>
      <c r="I10" s="476"/>
      <c r="J10" s="487"/>
      <c r="K10" s="494" t="s">
        <v>332</v>
      </c>
      <c r="L10" s="486"/>
      <c r="M10" s="521"/>
      <c r="N10" s="521"/>
      <c r="O10" s="546"/>
      <c r="P10" s="559" t="s">
        <v>224</v>
      </c>
      <c r="Q10" s="566"/>
      <c r="R10" s="566"/>
      <c r="S10" s="498" t="s">
        <v>225</v>
      </c>
      <c r="T10" s="580" t="str">
        <f>IFERROR(IF(ISBLANK(M10),"",INT(M10/Q10)),"")</f>
        <v/>
      </c>
      <c r="U10" s="592" t="str">
        <f>IF(ISNUMBER(T10),IF(AND(T10&gt;0,T10&lt;100000),"ⓐ",IF(T10&gt;=200000,"ⓒ","ⓑ")),"")</f>
        <v/>
      </c>
      <c r="V10" s="607"/>
      <c r="W10" s="625"/>
      <c r="X10" s="635"/>
      <c r="Y10" s="461"/>
      <c r="AA10" s="649">
        <v>5</v>
      </c>
      <c r="AB10" s="655" t="str">
        <f>IF('2-1（収支報告書　記載例）'!$A44="","",'2-1（収支報告書　記載例）'!$A44)</f>
        <v>島根　５郎</v>
      </c>
      <c r="AC10" s="663">
        <f t="shared" si="0"/>
        <v>78370</v>
      </c>
      <c r="AD10" s="670">
        <v>15384</v>
      </c>
      <c r="AE10" s="678"/>
      <c r="AF10" s="670">
        <v>17875</v>
      </c>
      <c r="AG10" s="678"/>
      <c r="AH10" s="670">
        <v>37500</v>
      </c>
      <c r="AI10" s="678"/>
      <c r="AJ10" s="670"/>
      <c r="AK10" s="678"/>
      <c r="AL10" s="670">
        <v>7611</v>
      </c>
      <c r="AM10" s="678"/>
      <c r="AN10" s="670"/>
      <c r="AO10" s="678"/>
      <c r="AP10" s="670"/>
      <c r="AQ10" s="678"/>
      <c r="AR10" s="670"/>
      <c r="AS10" s="678"/>
      <c r="AT10" s="670"/>
      <c r="AU10" s="678"/>
      <c r="AV10" s="670"/>
      <c r="AW10" s="678"/>
      <c r="AX10" s="670"/>
      <c r="AY10" s="678"/>
    </row>
    <row r="11" spans="1:58" ht="23.25" customHeight="1">
      <c r="A11" s="461" t="str">
        <f>IF(ISTEXT(I11),1+A10,"")</f>
        <v/>
      </c>
      <c r="B11" s="461" t="s">
        <v>24</v>
      </c>
      <c r="C11" s="461" t="str">
        <f>IF($U11="ⓐ",COUNTIF($U$8:U11,"ⓐ"),"")</f>
        <v/>
      </c>
      <c r="D11" s="461" t="str">
        <f>IF($U11="ⓑ",COUNTIF($U$8:V11,"ⓑ"),"")</f>
        <v/>
      </c>
      <c r="E11" s="461" t="str">
        <f>IF($U11="ⓒ",COUNTIF($U$8:W11,"ⓒ"),"")</f>
        <v/>
      </c>
      <c r="G11" s="461" t="e">
        <f>YEAR(VALUE(J11&amp;"/1/1"))</f>
        <v>#VALUE!</v>
      </c>
      <c r="H11" s="469">
        <v>4</v>
      </c>
      <c r="I11" s="476"/>
      <c r="J11" s="487"/>
      <c r="K11" s="494" t="s">
        <v>332</v>
      </c>
      <c r="L11" s="486"/>
      <c r="M11" s="521"/>
      <c r="N11" s="521" t="e">
        <v>#N/A</v>
      </c>
      <c r="O11" s="546" t="e">
        <v>#N/A</v>
      </c>
      <c r="P11" s="559" t="s">
        <v>224</v>
      </c>
      <c r="Q11" s="566"/>
      <c r="R11" s="566"/>
      <c r="S11" s="498" t="s">
        <v>225</v>
      </c>
      <c r="T11" s="580" t="str">
        <f>IFERROR(IF(ISBLANK(M11),"",INT(M11/Q11)),"")</f>
        <v/>
      </c>
      <c r="U11" s="592" t="str">
        <f>IF(ISNUMBER(T11),IF(AND(T11&gt;0,T11&lt;100000),"ⓐ",IF(T11&gt;=200000,"ⓒ","ⓑ")),"")</f>
        <v/>
      </c>
      <c r="V11" s="607"/>
      <c r="W11" s="625"/>
      <c r="X11" s="635"/>
      <c r="Y11" s="461"/>
      <c r="AA11" s="649">
        <v>6</v>
      </c>
      <c r="AB11" s="655" t="str">
        <f>IF('2-1（収支報告書　記載例）'!$A45="","",'2-1（収支報告書　記載例）'!$A45)</f>
        <v>島根　６郎</v>
      </c>
      <c r="AC11" s="663">
        <f t="shared" si="0"/>
        <v>108161</v>
      </c>
      <c r="AD11" s="670">
        <v>15384</v>
      </c>
      <c r="AE11" s="678"/>
      <c r="AF11" s="670">
        <v>17875</v>
      </c>
      <c r="AG11" s="678"/>
      <c r="AH11" s="670">
        <v>37500</v>
      </c>
      <c r="AI11" s="678"/>
      <c r="AJ11" s="670">
        <v>29791</v>
      </c>
      <c r="AK11" s="678"/>
      <c r="AL11" s="670">
        <v>7611</v>
      </c>
      <c r="AM11" s="678"/>
      <c r="AN11" s="670"/>
      <c r="AO11" s="678"/>
      <c r="AP11" s="670"/>
      <c r="AQ11" s="678"/>
      <c r="AR11" s="670"/>
      <c r="AS11" s="678"/>
      <c r="AT11" s="670"/>
      <c r="AU11" s="678"/>
      <c r="AV11" s="670"/>
      <c r="AW11" s="678"/>
      <c r="AX11" s="670"/>
      <c r="AY11" s="678"/>
    </row>
    <row r="12" spans="1:58" ht="23.25" customHeight="1">
      <c r="A12" s="461" t="str">
        <f>IF(ISTEXT(I12),1+A11,"")</f>
        <v/>
      </c>
      <c r="B12" s="461" t="s">
        <v>24</v>
      </c>
      <c r="C12" s="461" t="str">
        <f>IF($U12="ⓐ",COUNTIF($U$8:U12,"ⓐ"),"")</f>
        <v/>
      </c>
      <c r="D12" s="461" t="str">
        <f>IF($U12="ⓑ",COUNTIF($U$8:V12,"ⓑ"),"")</f>
        <v/>
      </c>
      <c r="E12" s="461" t="str">
        <f>IF($U12="ⓒ",COUNTIF($U$8:W12,"ⓒ"),"")</f>
        <v/>
      </c>
      <c r="G12" s="461" t="e">
        <f>YEAR(VALUE(J12&amp;"/1/1"))</f>
        <v>#VALUE!</v>
      </c>
      <c r="H12" s="470">
        <v>5</v>
      </c>
      <c r="I12" s="477"/>
      <c r="J12" s="488"/>
      <c r="K12" s="495" t="s">
        <v>332</v>
      </c>
      <c r="L12" s="490"/>
      <c r="M12" s="522"/>
      <c r="N12" s="522" t="e">
        <v>#N/A</v>
      </c>
      <c r="O12" s="547" t="e">
        <v>#N/A</v>
      </c>
      <c r="P12" s="560" t="s">
        <v>224</v>
      </c>
      <c r="Q12" s="567"/>
      <c r="R12" s="567"/>
      <c r="S12" s="499" t="s">
        <v>225</v>
      </c>
      <c r="T12" s="581" t="str">
        <f>IFERROR(IF(ISBLANK(M12),"",INT(M12/Q12)),"")</f>
        <v/>
      </c>
      <c r="U12" s="593" t="str">
        <f>IF(ISNUMBER(T12),IF(AND(T12&gt;0,T12&lt;100000),"ⓐ",IF(T12&gt;=200000,"ⓒ","ⓑ")),"")</f>
        <v/>
      </c>
      <c r="V12" s="608"/>
      <c r="W12" s="626"/>
      <c r="X12" s="635"/>
      <c r="Y12" s="461"/>
      <c r="AA12" s="649">
        <v>7</v>
      </c>
      <c r="AB12" s="655" t="str">
        <f>IF('2-1（収支報告書　記載例）'!$A46="","",'2-1（収支報告書　記載例）'!$A46)</f>
        <v>島根　７郎</v>
      </c>
      <c r="AC12" s="663">
        <f t="shared" si="0"/>
        <v>52786</v>
      </c>
      <c r="AD12" s="670">
        <v>15384</v>
      </c>
      <c r="AE12" s="678"/>
      <c r="AF12" s="670"/>
      <c r="AG12" s="678"/>
      <c r="AH12" s="670"/>
      <c r="AI12" s="678"/>
      <c r="AJ12" s="670">
        <v>29791</v>
      </c>
      <c r="AK12" s="678"/>
      <c r="AL12" s="670">
        <v>7611</v>
      </c>
      <c r="AM12" s="678"/>
      <c r="AN12" s="670"/>
      <c r="AO12" s="678"/>
      <c r="AP12" s="670"/>
      <c r="AQ12" s="678"/>
      <c r="AR12" s="670"/>
      <c r="AS12" s="678"/>
      <c r="AT12" s="670"/>
      <c r="AU12" s="678"/>
      <c r="AV12" s="670"/>
      <c r="AW12" s="678"/>
      <c r="AX12" s="670"/>
      <c r="AY12" s="678"/>
    </row>
    <row r="13" spans="1:58" ht="23.25" customHeight="1">
      <c r="I13" s="478"/>
      <c r="J13" s="489"/>
      <c r="K13" s="489"/>
      <c r="L13" s="489"/>
      <c r="M13" s="523"/>
      <c r="N13" s="523"/>
      <c r="O13" s="523"/>
      <c r="P13" s="461"/>
      <c r="Q13" s="463"/>
      <c r="R13" s="463"/>
      <c r="S13" s="568"/>
      <c r="T13" s="582"/>
      <c r="U13" s="594"/>
      <c r="V13" s="461"/>
      <c r="W13" s="461"/>
      <c r="X13" s="461"/>
      <c r="Y13" s="461"/>
      <c r="AA13" s="649">
        <v>8</v>
      </c>
      <c r="AB13" s="655" t="str">
        <f>IF('2-1（収支報告書　記載例）'!$A47="","",'2-1（収支報告書　記載例）'!$A47)</f>
        <v>島根　８郎</v>
      </c>
      <c r="AC13" s="663">
        <f t="shared" si="0"/>
        <v>100550</v>
      </c>
      <c r="AD13" s="670">
        <v>15384</v>
      </c>
      <c r="AE13" s="678"/>
      <c r="AF13" s="670">
        <v>17875</v>
      </c>
      <c r="AG13" s="678"/>
      <c r="AH13" s="670">
        <v>37500</v>
      </c>
      <c r="AI13" s="678"/>
      <c r="AJ13" s="670">
        <v>29791</v>
      </c>
      <c r="AK13" s="678"/>
      <c r="AL13" s="670"/>
      <c r="AM13" s="678"/>
      <c r="AN13" s="670"/>
      <c r="AO13" s="678"/>
      <c r="AP13" s="670"/>
      <c r="AQ13" s="678"/>
      <c r="AR13" s="670"/>
      <c r="AS13" s="678"/>
      <c r="AT13" s="670"/>
      <c r="AU13" s="678"/>
      <c r="AV13" s="670"/>
      <c r="AW13" s="678"/>
      <c r="AX13" s="670"/>
      <c r="AY13" s="678"/>
    </row>
    <row r="14" spans="1:58" ht="23.25" customHeight="1">
      <c r="J14" s="489"/>
      <c r="K14" s="489"/>
      <c r="L14" s="489"/>
      <c r="M14" s="523"/>
      <c r="N14" s="523"/>
      <c r="O14" s="523"/>
      <c r="P14" s="461"/>
      <c r="Q14" s="463"/>
      <c r="R14" s="463"/>
      <c r="S14" s="568"/>
      <c r="T14" s="523"/>
      <c r="U14" s="594"/>
      <c r="V14" s="609"/>
      <c r="W14" s="609"/>
      <c r="X14" s="609"/>
      <c r="Y14" s="609"/>
      <c r="AA14" s="649">
        <v>9</v>
      </c>
      <c r="AB14" s="655" t="str">
        <f>IF('2-1（収支報告書　記載例）'!$A48="","",'2-1（収支報告書　記載例）'!$A48)</f>
        <v>島根　９郎</v>
      </c>
      <c r="AC14" s="663">
        <f t="shared" si="0"/>
        <v>52786</v>
      </c>
      <c r="AD14" s="670">
        <v>15384</v>
      </c>
      <c r="AE14" s="678"/>
      <c r="AF14" s="670"/>
      <c r="AG14" s="678"/>
      <c r="AH14" s="670"/>
      <c r="AI14" s="678"/>
      <c r="AJ14" s="671">
        <v>29791</v>
      </c>
      <c r="AK14" s="679"/>
      <c r="AL14" s="671">
        <v>7611</v>
      </c>
      <c r="AM14" s="679"/>
      <c r="AN14" s="671"/>
      <c r="AO14" s="679"/>
      <c r="AP14" s="671"/>
      <c r="AQ14" s="679"/>
      <c r="AR14" s="671"/>
      <c r="AS14" s="679"/>
      <c r="AT14" s="671"/>
      <c r="AU14" s="679"/>
      <c r="AV14" s="671"/>
      <c r="AW14" s="679"/>
      <c r="AX14" s="671"/>
      <c r="AY14" s="679"/>
    </row>
    <row r="15" spans="1:58" ht="23.25" customHeight="1">
      <c r="H15" s="467" t="s">
        <v>70</v>
      </c>
      <c r="J15" s="489"/>
      <c r="K15" s="489"/>
      <c r="L15" s="489"/>
      <c r="M15" s="523"/>
      <c r="N15" s="523"/>
      <c r="O15" s="523"/>
      <c r="P15" s="461"/>
      <c r="Q15" s="463"/>
      <c r="R15" s="463"/>
      <c r="S15" s="568"/>
      <c r="T15" s="523"/>
      <c r="U15" s="594"/>
      <c r="V15" s="609"/>
      <c r="W15" s="609"/>
      <c r="X15" s="609"/>
      <c r="Y15" s="609"/>
      <c r="AA15" s="649">
        <v>10</v>
      </c>
      <c r="AB15" s="655" t="str">
        <f>IF('2-1（収支報告書　記載例）'!$A49="","",'2-1（収支報告書　記載例）'!$A49)</f>
        <v>島根　１０郎</v>
      </c>
      <c r="AC15" s="663">
        <f t="shared" si="0"/>
        <v>92777</v>
      </c>
      <c r="AD15" s="670"/>
      <c r="AE15" s="678"/>
      <c r="AF15" s="670">
        <v>17875</v>
      </c>
      <c r="AG15" s="678"/>
      <c r="AH15" s="670">
        <v>37500</v>
      </c>
      <c r="AI15" s="678"/>
      <c r="AJ15" s="671">
        <v>29791</v>
      </c>
      <c r="AK15" s="679"/>
      <c r="AL15" s="671">
        <v>7611</v>
      </c>
      <c r="AM15" s="679"/>
      <c r="AN15" s="671"/>
      <c r="AO15" s="679"/>
      <c r="AP15" s="671"/>
      <c r="AQ15" s="679"/>
      <c r="AR15" s="671"/>
      <c r="AS15" s="679"/>
      <c r="AT15" s="671"/>
      <c r="AU15" s="679"/>
      <c r="AV15" s="671"/>
      <c r="AW15" s="679"/>
      <c r="AX15" s="671"/>
      <c r="AY15" s="679"/>
    </row>
    <row r="16" spans="1:58" ht="23.25" customHeight="1">
      <c r="A16" s="461" t="s">
        <v>76</v>
      </c>
      <c r="B16" s="461" t="s">
        <v>205</v>
      </c>
      <c r="C16" s="461" t="s">
        <v>220</v>
      </c>
      <c r="D16" s="461" t="s">
        <v>221</v>
      </c>
      <c r="E16" s="461" t="s">
        <v>255</v>
      </c>
      <c r="F16" s="461" t="s">
        <v>121</v>
      </c>
      <c r="H16" s="468"/>
      <c r="I16" s="475" t="s">
        <v>90</v>
      </c>
      <c r="J16" s="485" t="s">
        <v>223</v>
      </c>
      <c r="K16" s="504"/>
      <c r="L16" s="475"/>
      <c r="M16" s="520" t="s">
        <v>150</v>
      </c>
      <c r="N16" s="520"/>
      <c r="O16" s="485"/>
      <c r="P16" s="558" t="s">
        <v>224</v>
      </c>
      <c r="Q16" s="520" t="s">
        <v>212</v>
      </c>
      <c r="R16" s="520"/>
      <c r="S16" s="520" t="s">
        <v>225</v>
      </c>
      <c r="T16" s="579" t="s">
        <v>28</v>
      </c>
      <c r="U16" s="591"/>
      <c r="V16" s="485" t="s">
        <v>190</v>
      </c>
      <c r="W16" s="504"/>
      <c r="X16" s="636" t="s">
        <v>133</v>
      </c>
      <c r="Y16" s="642" t="s">
        <v>88</v>
      </c>
      <c r="AA16" s="649">
        <v>11</v>
      </c>
      <c r="AB16" s="655" t="str">
        <f>IF('2-1（収支報告書　記載例）'!$A50="","",'2-1（収支報告書　記載例）'!$A50)</f>
        <v>島根　１１郎</v>
      </c>
      <c r="AC16" s="663">
        <f t="shared" si="0"/>
        <v>63050</v>
      </c>
      <c r="AD16" s="670">
        <v>15384</v>
      </c>
      <c r="AE16" s="678"/>
      <c r="AF16" s="670">
        <v>17875</v>
      </c>
      <c r="AG16" s="678"/>
      <c r="AH16" s="670"/>
      <c r="AI16" s="678"/>
      <c r="AJ16" s="671">
        <v>29791</v>
      </c>
      <c r="AK16" s="679"/>
      <c r="AL16" s="671"/>
      <c r="AM16" s="679"/>
      <c r="AN16" s="671"/>
      <c r="AO16" s="679"/>
      <c r="AP16" s="671"/>
      <c r="AQ16" s="679"/>
      <c r="AR16" s="671"/>
      <c r="AS16" s="679"/>
      <c r="AT16" s="671"/>
      <c r="AU16" s="679"/>
      <c r="AV16" s="671"/>
      <c r="AW16" s="679"/>
      <c r="AX16" s="671"/>
      <c r="AY16" s="679"/>
    </row>
    <row r="17" spans="1:51" ht="23.25" customHeight="1">
      <c r="A17" s="461">
        <f>IF(ISBLANK(I17),"",1+MAX($A$8:$A$12))</f>
        <v>3</v>
      </c>
      <c r="B17" s="461" t="s">
        <v>229</v>
      </c>
      <c r="C17" s="461" t="str">
        <f>IF($U17="ⓐ",COUNTIF($U$8:U17,"ⓐ"),"")</f>
        <v/>
      </c>
      <c r="D17" s="461">
        <f>IF($U17="ⓑ",COUNTIF($U$8:V17,"ⓑ"),"")</f>
        <v>1</v>
      </c>
      <c r="E17" s="461" t="str">
        <f>IF(AND($U17="ⓒ",$Y17&lt;&gt;"○"),COUNTIF($U$17:U17,"ⓒ")-COUNTIF($Y$17:Y$17,"○"),"")</f>
        <v/>
      </c>
      <c r="F17" s="461" t="str">
        <f>IF(AND($U17="ⓒ",$Y17="○"),COUNTIF($Y$17:Y17,"○"),"")</f>
        <v/>
      </c>
      <c r="G17" s="461">
        <f>YEAR(VALUE(J17&amp;"/1/1"))</f>
        <v>2024</v>
      </c>
      <c r="H17" s="469">
        <v>1</v>
      </c>
      <c r="I17" s="476" t="s">
        <v>230</v>
      </c>
      <c r="J17" s="486" t="s">
        <v>276</v>
      </c>
      <c r="K17" s="494" t="s">
        <v>332</v>
      </c>
      <c r="L17" s="486">
        <v>5</v>
      </c>
      <c r="M17" s="521">
        <v>900000</v>
      </c>
      <c r="N17" s="521"/>
      <c r="O17" s="546"/>
      <c r="P17" s="559" t="s">
        <v>224</v>
      </c>
      <c r="Q17" s="566">
        <v>8</v>
      </c>
      <c r="R17" s="566"/>
      <c r="S17" s="498" t="s">
        <v>225</v>
      </c>
      <c r="T17" s="580">
        <f>IF(ISBLANK(M17),"",INT(M17/Q17))</f>
        <v>112500</v>
      </c>
      <c r="U17" s="592" t="str">
        <f>IF(ISNUMBER(T17),IF(AND(T17&gt;0,T17&lt;100000),"ⓐ",IF(T17&gt;=200000,"ⓒ","ⓑ")),"")</f>
        <v>ⓑ</v>
      </c>
      <c r="V17" s="606" t="s">
        <v>232</v>
      </c>
      <c r="W17" s="627"/>
      <c r="X17" s="637">
        <v>7</v>
      </c>
      <c r="Y17" s="643" t="str">
        <f>IFERROR(IF(U17="ⓒ",IF(G17+X17=$G$1,"○",""),""),"")</f>
        <v/>
      </c>
      <c r="AA17" s="649">
        <v>12</v>
      </c>
      <c r="AB17" s="655" t="str">
        <f>IF('2-1（収支報告書　記載例）'!$A51="","",'2-1（収支報告書　記載例）'!$A51)</f>
        <v>島根　１２郎</v>
      </c>
      <c r="AC17" s="663">
        <f t="shared" si="0"/>
        <v>108161</v>
      </c>
      <c r="AD17" s="670">
        <v>15384</v>
      </c>
      <c r="AE17" s="678"/>
      <c r="AF17" s="670">
        <v>17875</v>
      </c>
      <c r="AG17" s="678"/>
      <c r="AH17" s="670">
        <v>37500</v>
      </c>
      <c r="AI17" s="678"/>
      <c r="AJ17" s="671">
        <v>29791</v>
      </c>
      <c r="AK17" s="679"/>
      <c r="AL17" s="671">
        <v>7611</v>
      </c>
      <c r="AM17" s="679"/>
      <c r="AN17" s="671"/>
      <c r="AO17" s="679"/>
      <c r="AP17" s="671"/>
      <c r="AQ17" s="679"/>
      <c r="AR17" s="671"/>
      <c r="AS17" s="679"/>
      <c r="AT17" s="671"/>
      <c r="AU17" s="679"/>
      <c r="AV17" s="671"/>
      <c r="AW17" s="679"/>
      <c r="AX17" s="671"/>
      <c r="AY17" s="679"/>
    </row>
    <row r="18" spans="1:51" ht="23.25" customHeight="1">
      <c r="A18" s="461">
        <f>IF(ISBLANK(I18),"",1+A17)</f>
        <v>4</v>
      </c>
      <c r="B18" s="461" t="s">
        <v>229</v>
      </c>
      <c r="C18" s="461" t="str">
        <f>IF($U18="ⓐ",COUNTIF($U$8:U18,"ⓐ"),"")</f>
        <v/>
      </c>
      <c r="D18" s="461" t="str">
        <f>IF($U18="ⓑ",COUNTIF($U$8:V18,"ⓑ"),"")</f>
        <v/>
      </c>
      <c r="E18" s="461">
        <f>IF(AND($U18="ⓒ",$Y18&lt;&gt;"○"),COUNTIF($U$17:U18,"ⓒ")-COUNTIF($Y$17:Y17,"○"),"")</f>
        <v>1</v>
      </c>
      <c r="F18" s="461" t="str">
        <f>IF(AND($U18="ⓒ",$Y18="○"),COUNTIF($Y$17:Y18,"○"),"")</f>
        <v/>
      </c>
      <c r="G18" s="461">
        <f>YEAR(VALUE(J18&amp;"/1/1"))</f>
        <v>2025</v>
      </c>
      <c r="H18" s="469">
        <v>2</v>
      </c>
      <c r="I18" s="476" t="s">
        <v>233</v>
      </c>
      <c r="J18" s="486" t="s">
        <v>75</v>
      </c>
      <c r="K18" s="494" t="s">
        <v>332</v>
      </c>
      <c r="L18" s="486">
        <v>10</v>
      </c>
      <c r="M18" s="521">
        <v>2500000</v>
      </c>
      <c r="N18" s="521" t="e">
        <v>#N/A</v>
      </c>
      <c r="O18" s="546" t="e">
        <v>#N/A</v>
      </c>
      <c r="P18" s="559" t="s">
        <v>224</v>
      </c>
      <c r="Q18" s="566">
        <v>12</v>
      </c>
      <c r="R18" s="566"/>
      <c r="S18" s="498" t="s">
        <v>225</v>
      </c>
      <c r="T18" s="580">
        <f>IF(ISBLANK(M18),"",INT(M18/Q18))</f>
        <v>208333</v>
      </c>
      <c r="U18" s="592" t="str">
        <f>IF(ISNUMBER(T18),IF(AND(T18&gt;0,T18&lt;100000),"ⓐ",IF(T18&gt;=200000,"ⓒ","ⓑ")),"")</f>
        <v>ⓒ</v>
      </c>
      <c r="V18" s="607"/>
      <c r="W18" s="628"/>
      <c r="X18" s="637">
        <v>7</v>
      </c>
      <c r="Y18" s="643" t="str">
        <f>IFERROR(IF(U18="ⓒ",IF(G18+X18=$G$1,"○",""),""),"")</f>
        <v/>
      </c>
      <c r="AA18" s="649">
        <v>13</v>
      </c>
      <c r="AB18" s="655" t="str">
        <f>IF('2-1（収支報告書　記載例）'!$A52="","",'2-1（収支報告書　記載例）'!$A52)</f>
        <v>島根　１３郎</v>
      </c>
      <c r="AC18" s="663">
        <f t="shared" si="0"/>
        <v>52786</v>
      </c>
      <c r="AD18" s="670">
        <v>15384</v>
      </c>
      <c r="AE18" s="678"/>
      <c r="AF18" s="670"/>
      <c r="AG18" s="678"/>
      <c r="AH18" s="670"/>
      <c r="AI18" s="678"/>
      <c r="AJ18" s="671">
        <v>29791</v>
      </c>
      <c r="AK18" s="679"/>
      <c r="AL18" s="671">
        <v>7611</v>
      </c>
      <c r="AM18" s="679"/>
      <c r="AN18" s="671"/>
      <c r="AO18" s="679"/>
      <c r="AP18" s="671"/>
      <c r="AQ18" s="679"/>
      <c r="AR18" s="671"/>
      <c r="AS18" s="679"/>
      <c r="AT18" s="671"/>
      <c r="AU18" s="679"/>
      <c r="AV18" s="671"/>
      <c r="AW18" s="679"/>
      <c r="AX18" s="671"/>
      <c r="AY18" s="679"/>
    </row>
    <row r="19" spans="1:51" ht="23.25" customHeight="1">
      <c r="A19" s="461">
        <f>IF(ISBLANK(I19),"",1+A18)</f>
        <v>5</v>
      </c>
      <c r="B19" s="461" t="s">
        <v>229</v>
      </c>
      <c r="C19" s="461" t="str">
        <f>IF($U19="ⓐ",COUNTIF($U$8:U19,"ⓐ"),"")</f>
        <v/>
      </c>
      <c r="D19" s="461" t="str">
        <f>IF($U19="ⓑ",COUNTIF($U$8:V19,"ⓑ"),"")</f>
        <v/>
      </c>
      <c r="E19" s="461">
        <f>IF(AND($U19="ⓒ",$Y19&lt;&gt;"○"),COUNTIF($U$17:U19,"ⓒ")-COUNTIF($Y$17:Y18,"○"),"")</f>
        <v>2</v>
      </c>
      <c r="F19" s="461" t="str">
        <f>IF(AND($U19="ⓒ",$Y19="○"),COUNTIF($Y$17:Y19,"○"),"")</f>
        <v/>
      </c>
      <c r="G19" s="461">
        <f>YEAR(VALUE(J19&amp;"/1/1"))</f>
        <v>2019</v>
      </c>
      <c r="H19" s="469">
        <v>3</v>
      </c>
      <c r="I19" s="476" t="s">
        <v>246</v>
      </c>
      <c r="J19" s="486" t="s">
        <v>334</v>
      </c>
      <c r="K19" s="494" t="s">
        <v>332</v>
      </c>
      <c r="L19" s="486">
        <v>3</v>
      </c>
      <c r="M19" s="521">
        <v>4000000</v>
      </c>
      <c r="N19" s="521" t="e">
        <v>#N/A</v>
      </c>
      <c r="O19" s="546" t="e">
        <v>#N/A</v>
      </c>
      <c r="P19" s="559" t="s">
        <v>224</v>
      </c>
      <c r="Q19" s="566">
        <v>12</v>
      </c>
      <c r="R19" s="566"/>
      <c r="S19" s="498" t="s">
        <v>225</v>
      </c>
      <c r="T19" s="580">
        <f>IF(ISBLANK(M19),"",INT(M19/Q19))</f>
        <v>333333</v>
      </c>
      <c r="U19" s="592" t="str">
        <f>IF(ISNUMBER(T19),IF(AND(T19&gt;0,T19&lt;100000),"ⓐ",IF(T19&gt;=200000,"ⓒ","ⓑ")),"")</f>
        <v>ⓒ</v>
      </c>
      <c r="V19" s="607"/>
      <c r="W19" s="628"/>
      <c r="X19" s="637">
        <v>7</v>
      </c>
      <c r="Y19" s="643" t="str">
        <f>IFERROR(IF(U19="ⓒ",IF(G19+X19=$G$1,"○",""),""),"")</f>
        <v/>
      </c>
      <c r="AA19" s="649">
        <v>14</v>
      </c>
      <c r="AB19" s="655" t="str">
        <f>IF('2-1（収支報告書　記載例）'!$A53="","",'2-1（収支報告書　記載例）'!$A53)</f>
        <v>島根　１４郎</v>
      </c>
      <c r="AC19" s="663">
        <f t="shared" si="0"/>
        <v>78370</v>
      </c>
      <c r="AD19" s="670">
        <v>15384</v>
      </c>
      <c r="AE19" s="678"/>
      <c r="AF19" s="670">
        <v>17875</v>
      </c>
      <c r="AG19" s="678"/>
      <c r="AH19" s="670">
        <v>37500</v>
      </c>
      <c r="AI19" s="678"/>
      <c r="AJ19" s="671"/>
      <c r="AK19" s="679"/>
      <c r="AL19" s="671">
        <v>7611</v>
      </c>
      <c r="AM19" s="679"/>
      <c r="AN19" s="671"/>
      <c r="AO19" s="679"/>
      <c r="AP19" s="671"/>
      <c r="AQ19" s="679"/>
      <c r="AR19" s="671"/>
      <c r="AS19" s="679"/>
      <c r="AT19" s="671"/>
      <c r="AU19" s="679"/>
      <c r="AV19" s="671"/>
      <c r="AW19" s="679"/>
      <c r="AX19" s="671"/>
      <c r="AY19" s="679"/>
    </row>
    <row r="20" spans="1:51" ht="23.25" customHeight="1">
      <c r="A20" s="461" t="str">
        <f>IF(ISBLANK(I20),"",1+A19)</f>
        <v/>
      </c>
      <c r="B20" s="461" t="s">
        <v>229</v>
      </c>
      <c r="C20" s="461" t="str">
        <f>IF($U20="ⓐ",COUNTIF($U$8:U20,"ⓐ"),"")</f>
        <v/>
      </c>
      <c r="D20" s="461" t="str">
        <f>IF($U20="ⓑ",COUNTIF($U$8:V20,"ⓑ"),"")</f>
        <v/>
      </c>
      <c r="E20" s="461" t="str">
        <f>IF(AND($U20="ⓒ",$Y20&lt;&gt;"○"),COUNTIF($U$17:U20,"ⓒ")-COUNTIF($Y$17:Y19,"○"),"")</f>
        <v/>
      </c>
      <c r="F20" s="461" t="str">
        <f>IF(AND($U20="ⓒ",$Y20="○"),COUNTIF($Y$17:Y20,"○"),"")</f>
        <v/>
      </c>
      <c r="G20" s="461" t="e">
        <f>YEAR(VALUE(J20&amp;"/1/1"))</f>
        <v>#VALUE!</v>
      </c>
      <c r="H20" s="469">
        <v>4</v>
      </c>
      <c r="I20" s="476"/>
      <c r="J20" s="486"/>
      <c r="K20" s="494" t="s">
        <v>332</v>
      </c>
      <c r="L20" s="486"/>
      <c r="M20" s="521"/>
      <c r="N20" s="521"/>
      <c r="O20" s="546"/>
      <c r="P20" s="559" t="s">
        <v>224</v>
      </c>
      <c r="Q20" s="566"/>
      <c r="R20" s="566"/>
      <c r="S20" s="498" t="s">
        <v>225</v>
      </c>
      <c r="T20" s="580" t="str">
        <f>IF(ISBLANK(M20),"",INT(M20/Q20))</f>
        <v/>
      </c>
      <c r="U20" s="592" t="str">
        <f>IF(ISNUMBER(T20),IF(AND(T20&gt;0,T20&lt;100000),"ⓐ",IF(T20&gt;=200000,"ⓒ","ⓑ")),"")</f>
        <v/>
      </c>
      <c r="V20" s="607"/>
      <c r="W20" s="628"/>
      <c r="X20" s="637"/>
      <c r="Y20" s="643" t="str">
        <f>IFERROR(IF(U20="ⓒ",IF(G20+X20=$G$1,"○",""),""),"")</f>
        <v/>
      </c>
      <c r="AA20" s="649">
        <v>15</v>
      </c>
      <c r="AB20" s="655" t="str">
        <f>IF('2-1（収支報告書　記載例）'!$A54="","",'2-1（収支報告書　記載例）'!$A54)</f>
        <v/>
      </c>
      <c r="AC20" s="663">
        <f t="shared" si="0"/>
        <v>0</v>
      </c>
      <c r="AD20" s="671"/>
      <c r="AE20" s="679"/>
      <c r="AF20" s="671"/>
      <c r="AG20" s="679"/>
      <c r="AH20" s="671"/>
      <c r="AI20" s="679"/>
      <c r="AJ20" s="671"/>
      <c r="AK20" s="679"/>
      <c r="AL20" s="671"/>
      <c r="AM20" s="679"/>
      <c r="AN20" s="671"/>
      <c r="AO20" s="679"/>
      <c r="AP20" s="671"/>
      <c r="AQ20" s="679"/>
      <c r="AR20" s="671"/>
      <c r="AS20" s="679"/>
      <c r="AT20" s="671"/>
      <c r="AU20" s="679"/>
      <c r="AV20" s="671"/>
      <c r="AW20" s="679"/>
      <c r="AX20" s="671"/>
      <c r="AY20" s="679"/>
    </row>
    <row r="21" spans="1:51" ht="23.25" customHeight="1">
      <c r="A21" s="461" t="str">
        <f>IF(ISBLANK(I21),"",1+A20)</f>
        <v/>
      </c>
      <c r="B21" s="461" t="s">
        <v>229</v>
      </c>
      <c r="C21" s="461" t="str">
        <f>IF($U21="ⓐ",COUNTIF($U$8:U21,"ⓐ"),"")</f>
        <v/>
      </c>
      <c r="D21" s="461" t="str">
        <f>IF($U21="ⓑ",COUNTIF($U$8:V21,"ⓑ"),"")</f>
        <v/>
      </c>
      <c r="E21" s="461" t="str">
        <f>IF(AND($U21="ⓒ",$Y21&lt;&gt;"○"),COUNTIF($U$17:U21,"ⓒ")-COUNTIF($Y$17:Y20,"○"),"")</f>
        <v/>
      </c>
      <c r="F21" s="461" t="str">
        <f>IF(AND($U21="ⓒ",$Y21="○"),COUNTIF($Y$17:Y21,"○"),"")</f>
        <v/>
      </c>
      <c r="G21" s="461" t="e">
        <f>YEAR(VALUE(J21&amp;"/1/1"))</f>
        <v>#VALUE!</v>
      </c>
      <c r="H21" s="470">
        <v>5</v>
      </c>
      <c r="I21" s="477"/>
      <c r="J21" s="490"/>
      <c r="K21" s="495" t="s">
        <v>332</v>
      </c>
      <c r="L21" s="490"/>
      <c r="M21" s="522"/>
      <c r="N21" s="522"/>
      <c r="O21" s="547"/>
      <c r="P21" s="560" t="s">
        <v>224</v>
      </c>
      <c r="Q21" s="567"/>
      <c r="R21" s="567"/>
      <c r="S21" s="499" t="s">
        <v>225</v>
      </c>
      <c r="T21" s="581" t="str">
        <f>IF(ISBLANK(M21),"",INT(M21/Q21))</f>
        <v/>
      </c>
      <c r="U21" s="593" t="str">
        <f>IF(ISNUMBER(T21),IF(AND(T21&gt;0,T21&lt;100000),"ⓐ",IF(T21&gt;=200000,"ⓒ","ⓑ")),"")</f>
        <v/>
      </c>
      <c r="V21" s="608"/>
      <c r="W21" s="629"/>
      <c r="X21" s="638"/>
      <c r="Y21" s="644" t="str">
        <f>IFERROR(IF(U21="ⓒ",IF(G21+X21=$G$1,"○",""),""),"")</f>
        <v/>
      </c>
      <c r="AA21" s="649">
        <v>16</v>
      </c>
      <c r="AB21" s="655" t="str">
        <f>IF('2-1（収支報告書　記載例）'!$A55="","",'2-1（収支報告書　記載例）'!$A55)</f>
        <v/>
      </c>
      <c r="AC21" s="663">
        <f t="shared" si="0"/>
        <v>0</v>
      </c>
      <c r="AD21" s="671"/>
      <c r="AE21" s="679"/>
      <c r="AF21" s="671"/>
      <c r="AG21" s="679"/>
      <c r="AH21" s="671"/>
      <c r="AI21" s="679"/>
      <c r="AJ21" s="671"/>
      <c r="AK21" s="679"/>
      <c r="AL21" s="671"/>
      <c r="AM21" s="679"/>
      <c r="AN21" s="671"/>
      <c r="AO21" s="679"/>
      <c r="AP21" s="671"/>
      <c r="AQ21" s="679"/>
      <c r="AR21" s="671"/>
      <c r="AS21" s="679"/>
      <c r="AT21" s="671"/>
      <c r="AU21" s="679"/>
      <c r="AV21" s="671"/>
      <c r="AW21" s="679"/>
      <c r="AX21" s="671"/>
      <c r="AY21" s="679"/>
    </row>
    <row r="22" spans="1:51" ht="21.95" customHeight="1">
      <c r="J22" s="489"/>
      <c r="K22" s="489"/>
      <c r="L22" s="489"/>
      <c r="M22" s="523"/>
      <c r="N22" s="523"/>
      <c r="O22" s="523"/>
      <c r="P22" s="461"/>
      <c r="Q22" s="463"/>
      <c r="R22" s="463"/>
      <c r="S22" s="568"/>
      <c r="T22" s="523"/>
      <c r="U22" s="594"/>
      <c r="V22" s="609"/>
      <c r="W22" s="609"/>
      <c r="X22" s="609"/>
      <c r="Y22" s="609"/>
      <c r="AA22" s="649">
        <v>17</v>
      </c>
      <c r="AB22" s="655" t="str">
        <f>IF('2-1（収支報告書　記載例）'!$A56="","",'2-1（収支報告書　記載例）'!$A56)</f>
        <v/>
      </c>
      <c r="AC22" s="663">
        <f t="shared" si="0"/>
        <v>0</v>
      </c>
      <c r="AD22" s="671"/>
      <c r="AE22" s="679"/>
      <c r="AF22" s="671"/>
      <c r="AG22" s="679"/>
      <c r="AH22" s="671"/>
      <c r="AI22" s="679"/>
      <c r="AJ22" s="671"/>
      <c r="AK22" s="679"/>
      <c r="AL22" s="671"/>
      <c r="AM22" s="679"/>
      <c r="AN22" s="671"/>
      <c r="AO22" s="679"/>
      <c r="AP22" s="671"/>
      <c r="AQ22" s="679"/>
      <c r="AR22" s="671"/>
      <c r="AS22" s="679"/>
      <c r="AT22" s="671"/>
      <c r="AU22" s="679"/>
      <c r="AV22" s="671"/>
      <c r="AW22" s="679"/>
      <c r="AX22" s="671"/>
      <c r="AY22" s="679"/>
    </row>
    <row r="23" spans="1:51" ht="21.95" customHeight="1">
      <c r="J23" s="489"/>
      <c r="K23" s="489"/>
      <c r="L23" s="489"/>
      <c r="M23" s="523"/>
      <c r="N23" s="523"/>
      <c r="O23" s="523"/>
      <c r="P23" s="461"/>
      <c r="Q23" s="463"/>
      <c r="R23" s="463"/>
      <c r="S23" s="568"/>
      <c r="T23" s="523"/>
      <c r="U23" s="594"/>
      <c r="V23" s="609"/>
      <c r="W23" s="609"/>
      <c r="X23" s="609"/>
      <c r="Y23" s="609"/>
      <c r="AA23" s="649">
        <v>18</v>
      </c>
      <c r="AB23" s="655" t="str">
        <f>IF('2-1（収支報告書　記載例）'!$A57="","",'2-1（収支報告書　記載例）'!$A57)</f>
        <v/>
      </c>
      <c r="AC23" s="663">
        <f t="shared" si="0"/>
        <v>0</v>
      </c>
      <c r="AD23" s="671"/>
      <c r="AE23" s="679"/>
      <c r="AF23" s="671"/>
      <c r="AG23" s="679"/>
      <c r="AH23" s="671"/>
      <c r="AI23" s="679"/>
      <c r="AJ23" s="671"/>
      <c r="AK23" s="679"/>
      <c r="AL23" s="671"/>
      <c r="AM23" s="679"/>
      <c r="AN23" s="671"/>
      <c r="AO23" s="679"/>
      <c r="AP23" s="671"/>
      <c r="AQ23" s="679"/>
      <c r="AR23" s="671"/>
      <c r="AS23" s="679"/>
      <c r="AT23" s="671"/>
      <c r="AU23" s="679"/>
      <c r="AV23" s="671"/>
      <c r="AW23" s="679"/>
      <c r="AX23" s="671"/>
      <c r="AY23" s="679"/>
    </row>
    <row r="24" spans="1:51" ht="21.95" customHeight="1">
      <c r="J24" s="489"/>
      <c r="K24" s="489"/>
      <c r="L24" s="489"/>
      <c r="M24" s="523"/>
      <c r="N24" s="523"/>
      <c r="O24" s="523"/>
      <c r="P24" s="461"/>
      <c r="Q24" s="463"/>
      <c r="R24" s="463"/>
      <c r="S24" s="568"/>
      <c r="T24" s="523"/>
      <c r="U24" s="594"/>
      <c r="V24" s="609"/>
      <c r="W24" s="609"/>
      <c r="X24" s="609"/>
      <c r="Y24" s="609"/>
      <c r="AA24" s="649">
        <v>19</v>
      </c>
      <c r="AB24" s="655" t="str">
        <f>IF('2-1（収支報告書　記載例）'!$A58="","",'2-1（収支報告書　記載例）'!$A58)</f>
        <v/>
      </c>
      <c r="AC24" s="663">
        <f t="shared" si="0"/>
        <v>0</v>
      </c>
      <c r="AD24" s="671"/>
      <c r="AE24" s="679"/>
      <c r="AF24" s="671"/>
      <c r="AG24" s="679"/>
      <c r="AH24" s="671"/>
      <c r="AI24" s="679"/>
      <c r="AJ24" s="671"/>
      <c r="AK24" s="679"/>
      <c r="AL24" s="671"/>
      <c r="AM24" s="679"/>
      <c r="AN24" s="671"/>
      <c r="AO24" s="679"/>
      <c r="AP24" s="671"/>
      <c r="AQ24" s="679"/>
      <c r="AR24" s="671"/>
      <c r="AS24" s="679"/>
      <c r="AT24" s="671"/>
      <c r="AU24" s="679"/>
      <c r="AV24" s="671"/>
      <c r="AW24" s="679"/>
      <c r="AX24" s="671"/>
      <c r="AY24" s="679"/>
    </row>
    <row r="25" spans="1:51" ht="21.95" customHeight="1">
      <c r="H25" s="471" t="s">
        <v>234</v>
      </c>
      <c r="V25" s="462" t="s">
        <v>236</v>
      </c>
      <c r="AA25" s="649">
        <v>20</v>
      </c>
      <c r="AB25" s="655" t="str">
        <f>IF('2-1（収支報告書　記載例）'!$A59="","",'2-1（収支報告書　記載例）'!$A59)</f>
        <v/>
      </c>
      <c r="AC25" s="663">
        <f t="shared" si="0"/>
        <v>0</v>
      </c>
      <c r="AD25" s="671"/>
      <c r="AE25" s="679"/>
      <c r="AF25" s="671"/>
      <c r="AG25" s="679"/>
      <c r="AH25" s="671"/>
      <c r="AI25" s="679"/>
      <c r="AJ25" s="671"/>
      <c r="AK25" s="679"/>
      <c r="AL25" s="671"/>
      <c r="AM25" s="679"/>
      <c r="AN25" s="671"/>
      <c r="AO25" s="679"/>
      <c r="AP25" s="671"/>
      <c r="AQ25" s="679"/>
      <c r="AR25" s="671"/>
      <c r="AS25" s="679"/>
      <c r="AT25" s="671"/>
      <c r="AU25" s="679"/>
      <c r="AV25" s="671"/>
      <c r="AW25" s="679"/>
      <c r="AX25" s="671"/>
      <c r="AY25" s="679"/>
    </row>
    <row r="26" spans="1:51" ht="21.95" customHeight="1">
      <c r="H26" s="468"/>
      <c r="I26" s="475" t="s">
        <v>90</v>
      </c>
      <c r="J26" s="485" t="s">
        <v>223</v>
      </c>
      <c r="K26" s="504"/>
      <c r="L26" s="475"/>
      <c r="M26" s="524" t="s">
        <v>147</v>
      </c>
      <c r="N26" s="539"/>
      <c r="O26" s="548"/>
      <c r="P26" s="463"/>
      <c r="Q26" s="568"/>
      <c r="R26" s="568"/>
      <c r="S26" s="568"/>
      <c r="T26" s="463"/>
      <c r="V26" s="463"/>
      <c r="W26" s="463"/>
      <c r="X26" s="463"/>
      <c r="Y26" s="463"/>
      <c r="AA26" s="649">
        <v>21</v>
      </c>
      <c r="AB26" s="655" t="str">
        <f>IF('2-1（収支報告書　記載例）'!$A60="","",'2-1（収支報告書　記載例）'!$A60)</f>
        <v/>
      </c>
      <c r="AC26" s="663">
        <f t="shared" si="0"/>
        <v>0</v>
      </c>
      <c r="AD26" s="671"/>
      <c r="AE26" s="679"/>
      <c r="AF26" s="671"/>
      <c r="AG26" s="679"/>
      <c r="AH26" s="671"/>
      <c r="AI26" s="679"/>
      <c r="AJ26" s="671"/>
      <c r="AK26" s="679"/>
      <c r="AL26" s="671"/>
      <c r="AM26" s="679"/>
      <c r="AN26" s="671"/>
      <c r="AO26" s="679"/>
      <c r="AP26" s="671"/>
      <c r="AQ26" s="679"/>
      <c r="AR26" s="671"/>
      <c r="AS26" s="679"/>
      <c r="AT26" s="671"/>
      <c r="AU26" s="679"/>
      <c r="AV26" s="671"/>
      <c r="AW26" s="679"/>
      <c r="AX26" s="671"/>
      <c r="AY26" s="679"/>
    </row>
    <row r="27" spans="1:51" ht="21.95" customHeight="1">
      <c r="H27" s="469">
        <v>1</v>
      </c>
      <c r="I27" s="479" t="str">
        <f>IFERROR(VLOOKUP(1,$C$8:$O$21,7,FALSE),"")</f>
        <v>草刈り機</v>
      </c>
      <c r="J27" s="491" t="str">
        <f>IFERROR(VLOOKUP(1,$C$8:$O$12,8,FALSE),"")</f>
        <v>R8</v>
      </c>
      <c r="K27" s="491" t="s">
        <v>332</v>
      </c>
      <c r="L27" s="491">
        <f>IFERROR(VLOOKUP(1,$C$8:$O$12,10,FALSE),"")</f>
        <v>5</v>
      </c>
      <c r="M27" s="525">
        <f>IFERROR(VLOOKUP(1,$C$8:$T$12,18,FALSE),"")</f>
        <v>15384</v>
      </c>
      <c r="N27" s="525">
        <f t="shared" ref="N27:O31" si="1">VLOOKUP(1,$C$8:$O$21,5,FALSE)</f>
        <v>2026</v>
      </c>
      <c r="O27" s="549">
        <f t="shared" si="1"/>
        <v>2026</v>
      </c>
      <c r="P27" s="462"/>
      <c r="Q27" s="461"/>
      <c r="R27" s="461"/>
      <c r="S27" s="461"/>
      <c r="V27" s="610"/>
      <c r="W27" s="610"/>
      <c r="X27" s="610"/>
      <c r="Y27" s="610"/>
      <c r="AA27" s="649">
        <v>22</v>
      </c>
      <c r="AB27" s="655" t="str">
        <f>IF('2-1（収支報告書　記載例）'!$A61="","",'2-1（収支報告書　記載例）'!$A61)</f>
        <v/>
      </c>
      <c r="AC27" s="663">
        <f t="shared" si="0"/>
        <v>0</v>
      </c>
      <c r="AD27" s="671"/>
      <c r="AE27" s="679"/>
      <c r="AF27" s="671"/>
      <c r="AG27" s="679"/>
      <c r="AH27" s="671"/>
      <c r="AI27" s="679"/>
      <c r="AJ27" s="671"/>
      <c r="AK27" s="679"/>
      <c r="AL27" s="671"/>
      <c r="AM27" s="679"/>
      <c r="AN27" s="671"/>
      <c r="AO27" s="679"/>
      <c r="AP27" s="671"/>
      <c r="AQ27" s="679"/>
      <c r="AR27" s="671"/>
      <c r="AS27" s="679"/>
      <c r="AT27" s="671"/>
      <c r="AU27" s="679"/>
      <c r="AV27" s="671"/>
      <c r="AW27" s="679"/>
      <c r="AX27" s="671"/>
      <c r="AY27" s="679"/>
    </row>
    <row r="28" spans="1:51" ht="21.95" customHeight="1">
      <c r="H28" s="469">
        <v>2</v>
      </c>
      <c r="I28" s="480" t="str">
        <f>IFERROR(VLOOKUP(2,$C$8:$O$12,7,FALSE),"")</f>
        <v/>
      </c>
      <c r="J28" s="491" t="str">
        <f>IFERROR(VLOOKUP(2,$C$8:$O$12,8,FALSE),"")</f>
        <v/>
      </c>
      <c r="K28" s="491" t="s">
        <v>332</v>
      </c>
      <c r="L28" s="491" t="str">
        <f>IFERROR(VLOOKUP(2,$C$8:$O$12,10,FALSE),"")</f>
        <v/>
      </c>
      <c r="M28" s="525" t="str">
        <f>IFERROR(VLOOKUP(2,$C$8:$T$12,18,FALSE),"")</f>
        <v/>
      </c>
      <c r="N28" s="525">
        <f t="shared" si="1"/>
        <v>2026</v>
      </c>
      <c r="O28" s="549">
        <f t="shared" si="1"/>
        <v>2026</v>
      </c>
      <c r="Q28" s="461"/>
      <c r="R28" s="461"/>
      <c r="S28" s="568"/>
      <c r="V28" s="610"/>
      <c r="W28" s="610"/>
      <c r="X28" s="610"/>
      <c r="Y28" s="610"/>
      <c r="AA28" s="649">
        <v>23</v>
      </c>
      <c r="AB28" s="655" t="str">
        <f>IF('2-1（収支報告書　記載例）'!$A62="","",'2-1（収支報告書　記載例）'!$A62)</f>
        <v/>
      </c>
      <c r="AC28" s="663">
        <f t="shared" si="0"/>
        <v>0</v>
      </c>
      <c r="AD28" s="671"/>
      <c r="AE28" s="679"/>
      <c r="AF28" s="671"/>
      <c r="AG28" s="679"/>
      <c r="AH28" s="671"/>
      <c r="AI28" s="679"/>
      <c r="AJ28" s="671"/>
      <c r="AK28" s="679"/>
      <c r="AL28" s="671"/>
      <c r="AM28" s="679"/>
      <c r="AN28" s="671"/>
      <c r="AO28" s="679"/>
      <c r="AP28" s="671"/>
      <c r="AQ28" s="679"/>
      <c r="AR28" s="671"/>
      <c r="AS28" s="679"/>
      <c r="AT28" s="671"/>
      <c r="AU28" s="679"/>
      <c r="AV28" s="671"/>
      <c r="AW28" s="679"/>
      <c r="AX28" s="671"/>
      <c r="AY28" s="679"/>
    </row>
    <row r="29" spans="1:51" ht="21.95" customHeight="1">
      <c r="H29" s="469">
        <v>3</v>
      </c>
      <c r="I29" s="479" t="str">
        <f>IFERROR(VLOOKUP(3,$C$8:$O$12,7,FALSE),"")</f>
        <v/>
      </c>
      <c r="J29" s="491" t="str">
        <f>IFERROR(VLOOKUP(2,$C$8:$O$12,8,FALSE),"")</f>
        <v/>
      </c>
      <c r="K29" s="491" t="s">
        <v>332</v>
      </c>
      <c r="L29" s="491" t="str">
        <f>IFERROR(VLOOKUP(2,$C$8:$O$12,10,FALSE),"")</f>
        <v/>
      </c>
      <c r="M29" s="525" t="str">
        <f>IFERROR(VLOOKUP(3,$C$8:$T$12,18,FALSE),"")</f>
        <v/>
      </c>
      <c r="N29" s="525">
        <f t="shared" si="1"/>
        <v>2026</v>
      </c>
      <c r="O29" s="549">
        <f t="shared" si="1"/>
        <v>2026</v>
      </c>
      <c r="Q29" s="461"/>
      <c r="R29" s="461"/>
      <c r="S29" s="568"/>
      <c r="V29" s="610"/>
      <c r="W29" s="610"/>
      <c r="X29" s="610"/>
      <c r="Y29" s="610"/>
      <c r="AA29" s="649">
        <v>24</v>
      </c>
      <c r="AB29" s="655" t="str">
        <f>IF('2-1（収支報告書　記載例）'!$A63="","",'2-1（収支報告書　記載例）'!$A63)</f>
        <v/>
      </c>
      <c r="AC29" s="663">
        <f t="shared" si="0"/>
        <v>0</v>
      </c>
      <c r="AD29" s="671"/>
      <c r="AE29" s="679"/>
      <c r="AF29" s="671"/>
      <c r="AG29" s="679"/>
      <c r="AH29" s="671"/>
      <c r="AI29" s="679"/>
      <c r="AJ29" s="671"/>
      <c r="AK29" s="679"/>
      <c r="AL29" s="671"/>
      <c r="AM29" s="679"/>
      <c r="AN29" s="671"/>
      <c r="AO29" s="679"/>
      <c r="AP29" s="671"/>
      <c r="AQ29" s="679"/>
      <c r="AR29" s="671"/>
      <c r="AS29" s="679"/>
      <c r="AT29" s="671"/>
      <c r="AU29" s="679"/>
      <c r="AV29" s="671"/>
      <c r="AW29" s="679"/>
      <c r="AX29" s="671"/>
      <c r="AY29" s="679"/>
    </row>
    <row r="30" spans="1:51" ht="21.95" customHeight="1">
      <c r="H30" s="469">
        <v>4</v>
      </c>
      <c r="I30" s="479" t="str">
        <f>IFERROR(VLOOKUP(4,$C$8:$O$12,7,FALSE),"")</f>
        <v/>
      </c>
      <c r="J30" s="491" t="str">
        <f>IFERROR(VLOOKUP(2,$C$8:$O$12,8,FALSE),"")</f>
        <v/>
      </c>
      <c r="K30" s="491" t="s">
        <v>332</v>
      </c>
      <c r="L30" s="491" t="str">
        <f>IFERROR(VLOOKUP(2,$C$8:$O$12,10,FALSE),"")</f>
        <v/>
      </c>
      <c r="M30" s="525" t="str">
        <f>IFERROR(VLOOKUP(4,$C$8:$T$12,18,FALSE),"")</f>
        <v/>
      </c>
      <c r="N30" s="525">
        <f t="shared" si="1"/>
        <v>2026</v>
      </c>
      <c r="O30" s="549">
        <f t="shared" si="1"/>
        <v>2026</v>
      </c>
      <c r="Q30" s="461"/>
      <c r="R30" s="461"/>
      <c r="S30" s="568"/>
      <c r="V30" s="610"/>
      <c r="W30" s="610"/>
      <c r="X30" s="610"/>
      <c r="Y30" s="610"/>
      <c r="AA30" s="649">
        <v>25</v>
      </c>
      <c r="AB30" s="655" t="str">
        <f>IF('2-1（収支報告書　記載例）'!$A64="","",'2-1（収支報告書　記載例）'!$A64)</f>
        <v/>
      </c>
      <c r="AC30" s="663">
        <f t="shared" si="0"/>
        <v>0</v>
      </c>
      <c r="AD30" s="671"/>
      <c r="AE30" s="679"/>
      <c r="AF30" s="671"/>
      <c r="AG30" s="679"/>
      <c r="AH30" s="671"/>
      <c r="AI30" s="679"/>
      <c r="AJ30" s="671"/>
      <c r="AK30" s="679"/>
      <c r="AL30" s="671"/>
      <c r="AM30" s="679"/>
      <c r="AN30" s="671"/>
      <c r="AO30" s="679"/>
      <c r="AP30" s="671"/>
      <c r="AQ30" s="679"/>
      <c r="AR30" s="671"/>
      <c r="AS30" s="679"/>
      <c r="AT30" s="671"/>
      <c r="AU30" s="679"/>
      <c r="AV30" s="671"/>
      <c r="AW30" s="679"/>
      <c r="AX30" s="671"/>
      <c r="AY30" s="679"/>
    </row>
    <row r="31" spans="1:51" ht="21.95" customHeight="1">
      <c r="H31" s="469">
        <v>5</v>
      </c>
      <c r="I31" s="479" t="str">
        <f>IFERROR(VLOOKUP(5,$C$8:$O$12,7,FALSE),"")</f>
        <v/>
      </c>
      <c r="J31" s="491" t="str">
        <f>IFERROR(VLOOKUP(2,$C$8:$O$12,8,FALSE),"")</f>
        <v/>
      </c>
      <c r="K31" s="505" t="s">
        <v>332</v>
      </c>
      <c r="L31" s="505" t="str">
        <f>IFERROR(VLOOKUP(2,$C$8:$O$12,10,FALSE),"")</f>
        <v/>
      </c>
      <c r="M31" s="526" t="str">
        <f>IFERROR(VLOOKUP(5,$C$8:$T$12,18,FALSE),"")</f>
        <v/>
      </c>
      <c r="N31" s="540">
        <f t="shared" si="1"/>
        <v>2026</v>
      </c>
      <c r="O31" s="550">
        <f t="shared" si="1"/>
        <v>2026</v>
      </c>
      <c r="Q31" s="461"/>
      <c r="R31" s="461"/>
      <c r="S31" s="568"/>
      <c r="V31" s="610"/>
      <c r="W31" s="610"/>
      <c r="X31" s="610"/>
      <c r="Y31" s="610"/>
      <c r="AA31" s="649">
        <v>26</v>
      </c>
      <c r="AB31" s="655" t="str">
        <f>IF('2-1（収支報告書　記載例）'!$A65="","",'2-1（収支報告書　記載例）'!$A65)</f>
        <v/>
      </c>
      <c r="AC31" s="663">
        <f t="shared" si="0"/>
        <v>0</v>
      </c>
      <c r="AD31" s="671"/>
      <c r="AE31" s="679"/>
      <c r="AF31" s="671"/>
      <c r="AG31" s="679"/>
      <c r="AH31" s="671"/>
      <c r="AI31" s="679"/>
      <c r="AJ31" s="671"/>
      <c r="AK31" s="679"/>
      <c r="AL31" s="671"/>
      <c r="AM31" s="679"/>
      <c r="AN31" s="671"/>
      <c r="AO31" s="679"/>
      <c r="AP31" s="671"/>
      <c r="AQ31" s="679"/>
      <c r="AR31" s="671"/>
      <c r="AS31" s="679"/>
      <c r="AT31" s="671"/>
      <c r="AU31" s="679"/>
      <c r="AV31" s="671"/>
      <c r="AW31" s="679"/>
      <c r="AX31" s="671"/>
      <c r="AY31" s="679"/>
    </row>
    <row r="32" spans="1:51" ht="21.95" customHeight="1">
      <c r="H32" s="472" t="s">
        <v>30</v>
      </c>
      <c r="I32" s="472"/>
      <c r="J32" s="472"/>
      <c r="K32" s="472"/>
      <c r="L32" s="515"/>
      <c r="M32" s="527">
        <f>IFERROR(SUM(M27),"0")</f>
        <v>15384</v>
      </c>
      <c r="N32" s="541"/>
      <c r="O32" s="551"/>
      <c r="P32" s="492"/>
      <c r="Q32" s="492"/>
      <c r="R32" s="492"/>
      <c r="S32" s="492"/>
      <c r="T32" s="528"/>
      <c r="U32" s="568"/>
      <c r="V32" s="611"/>
      <c r="W32" s="611"/>
      <c r="X32" s="611"/>
      <c r="Y32" s="611"/>
      <c r="AA32" s="649">
        <v>27</v>
      </c>
      <c r="AB32" s="655" t="str">
        <f>IF('2-1（収支報告書　記載例）'!$A66="","",'2-1（収支報告書　記載例）'!$A66)</f>
        <v/>
      </c>
      <c r="AC32" s="663">
        <f t="shared" si="0"/>
        <v>0</v>
      </c>
      <c r="AD32" s="671"/>
      <c r="AE32" s="679"/>
      <c r="AF32" s="671"/>
      <c r="AG32" s="679"/>
      <c r="AH32" s="671"/>
      <c r="AI32" s="679"/>
      <c r="AJ32" s="671"/>
      <c r="AK32" s="679"/>
      <c r="AL32" s="671"/>
      <c r="AM32" s="679"/>
      <c r="AN32" s="671"/>
      <c r="AO32" s="679"/>
      <c r="AP32" s="671"/>
      <c r="AQ32" s="679"/>
      <c r="AR32" s="671"/>
      <c r="AS32" s="679"/>
      <c r="AT32" s="671"/>
      <c r="AU32" s="679"/>
      <c r="AV32" s="671"/>
      <c r="AW32" s="679"/>
      <c r="AX32" s="671"/>
      <c r="AY32" s="679"/>
    </row>
    <row r="33" spans="8:51" ht="21.95" customHeight="1">
      <c r="I33" s="463"/>
      <c r="J33" s="492"/>
      <c r="K33" s="492"/>
      <c r="L33" s="492"/>
      <c r="M33" s="528"/>
      <c r="N33" s="528"/>
      <c r="O33" s="528"/>
      <c r="P33" s="492"/>
      <c r="Q33" s="492"/>
      <c r="R33" s="492"/>
      <c r="T33" s="528"/>
      <c r="U33" s="568"/>
      <c r="V33" s="611"/>
      <c r="W33" s="611"/>
      <c r="X33" s="611"/>
      <c r="Y33" s="611"/>
      <c r="AA33" s="649">
        <v>28</v>
      </c>
      <c r="AB33" s="655" t="str">
        <f>IF('2-1（収支報告書　記載例）'!$A67="","",'2-1（収支報告書　記載例）'!$A67)</f>
        <v/>
      </c>
      <c r="AC33" s="663">
        <f t="shared" si="0"/>
        <v>0</v>
      </c>
      <c r="AD33" s="671"/>
      <c r="AE33" s="679"/>
      <c r="AF33" s="671"/>
      <c r="AG33" s="679"/>
      <c r="AH33" s="671"/>
      <c r="AI33" s="679"/>
      <c r="AJ33" s="671"/>
      <c r="AK33" s="679"/>
      <c r="AL33" s="671"/>
      <c r="AM33" s="679"/>
      <c r="AN33" s="671"/>
      <c r="AO33" s="679"/>
      <c r="AP33" s="671"/>
      <c r="AQ33" s="679"/>
      <c r="AR33" s="671"/>
      <c r="AS33" s="679"/>
      <c r="AT33" s="671"/>
      <c r="AU33" s="679"/>
      <c r="AV33" s="671"/>
      <c r="AW33" s="679"/>
      <c r="AX33" s="671"/>
      <c r="AY33" s="679"/>
    </row>
    <row r="34" spans="8:51" ht="21.95" customHeight="1">
      <c r="P34" s="561"/>
      <c r="AA34" s="649">
        <v>29</v>
      </c>
      <c r="AB34" s="655" t="str">
        <f>IF('2-1（収支報告書　記載例）'!$A68="","",'2-1（収支報告書　記載例）'!$A68)</f>
        <v/>
      </c>
      <c r="AC34" s="663">
        <f t="shared" si="0"/>
        <v>0</v>
      </c>
      <c r="AD34" s="671"/>
      <c r="AE34" s="679"/>
      <c r="AF34" s="671"/>
      <c r="AG34" s="679"/>
      <c r="AH34" s="671"/>
      <c r="AI34" s="679"/>
      <c r="AJ34" s="671"/>
      <c r="AK34" s="679"/>
      <c r="AL34" s="671"/>
      <c r="AM34" s="679"/>
      <c r="AN34" s="671"/>
      <c r="AO34" s="679"/>
      <c r="AP34" s="671"/>
      <c r="AQ34" s="679"/>
      <c r="AR34" s="671"/>
      <c r="AS34" s="679"/>
      <c r="AT34" s="671"/>
      <c r="AU34" s="679"/>
      <c r="AV34" s="671"/>
      <c r="AW34" s="679"/>
      <c r="AX34" s="671"/>
      <c r="AY34" s="679"/>
    </row>
    <row r="35" spans="8:51" ht="21.95" customHeight="1">
      <c r="H35" s="471" t="s">
        <v>48</v>
      </c>
      <c r="AA35" s="649">
        <v>30</v>
      </c>
      <c r="AB35" s="655" t="str">
        <f>IF('2-1（収支報告書　記載例）'!$A69="","",'2-1（収支報告書　記載例）'!$A69)</f>
        <v/>
      </c>
      <c r="AC35" s="663">
        <f t="shared" si="0"/>
        <v>0</v>
      </c>
      <c r="AD35" s="671"/>
      <c r="AE35" s="679"/>
      <c r="AF35" s="671"/>
      <c r="AG35" s="679"/>
      <c r="AH35" s="671"/>
      <c r="AI35" s="679"/>
      <c r="AJ35" s="671"/>
      <c r="AK35" s="679"/>
      <c r="AL35" s="671"/>
      <c r="AM35" s="679"/>
      <c r="AN35" s="671"/>
      <c r="AO35" s="679"/>
      <c r="AP35" s="671"/>
      <c r="AQ35" s="679"/>
      <c r="AR35" s="671"/>
      <c r="AS35" s="679"/>
      <c r="AT35" s="671"/>
      <c r="AU35" s="679"/>
      <c r="AV35" s="671"/>
      <c r="AW35" s="679"/>
      <c r="AX35" s="671"/>
      <c r="AY35" s="679"/>
    </row>
    <row r="36" spans="8:51" ht="21.95" customHeight="1">
      <c r="H36" s="468"/>
      <c r="I36" s="475" t="s">
        <v>90</v>
      </c>
      <c r="J36" s="485" t="s">
        <v>223</v>
      </c>
      <c r="K36" s="504"/>
      <c r="L36" s="475"/>
      <c r="M36" s="520" t="s">
        <v>147</v>
      </c>
      <c r="N36" s="520"/>
      <c r="O36" s="485"/>
      <c r="P36" s="562" t="s">
        <v>224</v>
      </c>
      <c r="Q36" s="520" t="s">
        <v>119</v>
      </c>
      <c r="R36" s="524" t="s">
        <v>37</v>
      </c>
      <c r="S36" s="520" t="s">
        <v>74</v>
      </c>
      <c r="T36" s="520" t="s">
        <v>9</v>
      </c>
      <c r="U36" s="595" t="s">
        <v>225</v>
      </c>
      <c r="V36" s="612" t="s">
        <v>32</v>
      </c>
      <c r="W36" s="630" t="s">
        <v>237</v>
      </c>
      <c r="X36" s="504"/>
      <c r="Y36" s="623"/>
      <c r="AA36" s="649">
        <v>31</v>
      </c>
      <c r="AB36" s="655" t="str">
        <f>IF('2-1（収支報告書　記載例）'!$A70="","",'2-1（収支報告書　記載例）'!$A70)</f>
        <v/>
      </c>
      <c r="AC36" s="663">
        <f t="shared" si="0"/>
        <v>0</v>
      </c>
      <c r="AD36" s="671"/>
      <c r="AE36" s="679"/>
      <c r="AF36" s="671"/>
      <c r="AG36" s="679"/>
      <c r="AH36" s="671"/>
      <c r="AI36" s="679"/>
      <c r="AJ36" s="671"/>
      <c r="AK36" s="679"/>
      <c r="AL36" s="671"/>
      <c r="AM36" s="679"/>
      <c r="AN36" s="671"/>
      <c r="AO36" s="679"/>
      <c r="AP36" s="671"/>
      <c r="AQ36" s="679"/>
      <c r="AR36" s="671"/>
      <c r="AS36" s="679"/>
      <c r="AT36" s="671"/>
      <c r="AU36" s="679"/>
      <c r="AV36" s="671"/>
      <c r="AW36" s="679"/>
      <c r="AX36" s="671"/>
      <c r="AY36" s="679"/>
    </row>
    <row r="37" spans="8:51" ht="21.95" customHeight="1">
      <c r="H37" s="469">
        <v>1</v>
      </c>
      <c r="I37" s="479" t="str">
        <f>IFERROR(VLOOKUP(1,$D$8:$O$21,6,FALSE),"")</f>
        <v>トラクタ</v>
      </c>
      <c r="J37" s="491" t="str">
        <f>IFERROR(VLOOKUP(1,$D$8:$O$21,7,FALSE),"")</f>
        <v>R6</v>
      </c>
      <c r="K37" s="491" t="s">
        <v>332</v>
      </c>
      <c r="L37" s="516">
        <f>IFERROR(VLOOKUP(1,$D$8:$O$21,9,FALSE),"")</f>
        <v>5</v>
      </c>
      <c r="M37" s="525">
        <f>IFERROR(VLOOKUP(1,$D$8:$T$21,17,FALSE),"")</f>
        <v>112500</v>
      </c>
      <c r="N37" s="525">
        <f t="shared" ref="N37:O41" si="2">VLOOKUP(1,$C$8:$O$21,5,FALSE)</f>
        <v>2026</v>
      </c>
      <c r="O37" s="525">
        <f t="shared" si="2"/>
        <v>2026</v>
      </c>
      <c r="P37" s="563" t="s">
        <v>224</v>
      </c>
      <c r="Q37" s="569" t="s">
        <v>119</v>
      </c>
      <c r="R37" s="574">
        <f>IFERROR(IF(ISBLANK(M37),"",INT(M37/3)),"")</f>
        <v>37500</v>
      </c>
      <c r="S37" s="498" t="s">
        <v>74</v>
      </c>
      <c r="T37" s="583">
        <v>100</v>
      </c>
      <c r="U37" s="596" t="s">
        <v>225</v>
      </c>
      <c r="V37" s="536">
        <f>IFERROR(IF(ISBLANK(M37),"",INT(R37*T37/100)),"")</f>
        <v>37500</v>
      </c>
      <c r="W37" s="631" t="s">
        <v>335</v>
      </c>
      <c r="X37" s="639" t="s">
        <v>239</v>
      </c>
      <c r="Y37" s="645" t="s">
        <v>311</v>
      </c>
      <c r="AA37" s="649">
        <v>32</v>
      </c>
      <c r="AB37" s="655" t="str">
        <f>IF('2-1（収支報告書　記載例）'!$A71="","",'2-1（収支報告書　記載例）'!$A71)</f>
        <v/>
      </c>
      <c r="AC37" s="663">
        <f t="shared" si="0"/>
        <v>0</v>
      </c>
      <c r="AD37" s="671"/>
      <c r="AE37" s="679"/>
      <c r="AF37" s="671"/>
      <c r="AG37" s="679"/>
      <c r="AH37" s="671"/>
      <c r="AI37" s="679"/>
      <c r="AJ37" s="671"/>
      <c r="AK37" s="679"/>
      <c r="AL37" s="671"/>
      <c r="AM37" s="679"/>
      <c r="AN37" s="671"/>
      <c r="AO37" s="679"/>
      <c r="AP37" s="671"/>
      <c r="AQ37" s="679"/>
      <c r="AR37" s="671"/>
      <c r="AS37" s="679"/>
      <c r="AT37" s="671"/>
      <c r="AU37" s="679"/>
      <c r="AV37" s="671"/>
      <c r="AW37" s="679"/>
      <c r="AX37" s="671"/>
      <c r="AY37" s="679"/>
    </row>
    <row r="38" spans="8:51" ht="21.95" customHeight="1">
      <c r="H38" s="469">
        <v>2</v>
      </c>
      <c r="I38" s="480" t="str">
        <f>IFERROR(VLOOKUP(2,$D$8:$O$21,6,FALSE),"")</f>
        <v/>
      </c>
      <c r="J38" s="491" t="str">
        <f>IFERROR(VLOOKUP(2,$D$8:$O$21,7,FALSE),"")</f>
        <v/>
      </c>
      <c r="K38" s="491" t="s">
        <v>332</v>
      </c>
      <c r="L38" s="516" t="str">
        <f>IFERROR(VLOOKUP(2,$D$8:$O$21,9,FALSE),"")</f>
        <v/>
      </c>
      <c r="M38" s="525" t="str">
        <f>IFERROR(VLOOKUP(2,$D$8:$T$21,17,FALSE),"")</f>
        <v/>
      </c>
      <c r="N38" s="525">
        <f t="shared" si="2"/>
        <v>2026</v>
      </c>
      <c r="O38" s="525">
        <f t="shared" si="2"/>
        <v>2026</v>
      </c>
      <c r="P38" s="563" t="s">
        <v>224</v>
      </c>
      <c r="Q38" s="569" t="s">
        <v>119</v>
      </c>
      <c r="R38" s="574" t="str">
        <f>IFERROR(IF(ISBLANK(M38),"",INT(M38/3)),"")</f>
        <v/>
      </c>
      <c r="S38" s="498" t="s">
        <v>74</v>
      </c>
      <c r="T38" s="583"/>
      <c r="U38" s="596" t="s">
        <v>225</v>
      </c>
      <c r="V38" s="536" t="str">
        <f>IFERROR(IF(ISBLANK(M38),"",INT(R38*T38/100)),"")</f>
        <v/>
      </c>
      <c r="W38" s="631"/>
      <c r="X38" s="639" t="s">
        <v>239</v>
      </c>
      <c r="Y38" s="645"/>
      <c r="AA38" s="649">
        <v>33</v>
      </c>
      <c r="AB38" s="655" t="str">
        <f>IF('2-1（収支報告書　記載例）'!$A72="","",'2-1（収支報告書　記載例）'!$A72)</f>
        <v/>
      </c>
      <c r="AC38" s="663">
        <f t="shared" si="0"/>
        <v>0</v>
      </c>
      <c r="AD38" s="671"/>
      <c r="AE38" s="679"/>
      <c r="AF38" s="671"/>
      <c r="AG38" s="679"/>
      <c r="AH38" s="671"/>
      <c r="AI38" s="679"/>
      <c r="AJ38" s="671"/>
      <c r="AK38" s="679"/>
      <c r="AL38" s="671"/>
      <c r="AM38" s="679"/>
      <c r="AN38" s="671"/>
      <c r="AO38" s="679"/>
      <c r="AP38" s="671"/>
      <c r="AQ38" s="679"/>
      <c r="AR38" s="671"/>
      <c r="AS38" s="679"/>
      <c r="AT38" s="671"/>
      <c r="AU38" s="679"/>
      <c r="AV38" s="671"/>
      <c r="AW38" s="679"/>
      <c r="AX38" s="671"/>
      <c r="AY38" s="679"/>
    </row>
    <row r="39" spans="8:51" ht="21.95" customHeight="1">
      <c r="H39" s="469">
        <v>3</v>
      </c>
      <c r="I39" s="479" t="str">
        <f>IFERROR(VLOOKUP(3,$D$8:$O$21,6,FALSE),"")</f>
        <v/>
      </c>
      <c r="J39" s="491" t="str">
        <f>IFERROR(VLOOKUP(3,$D$8:$O$21,7,FALSE),"")</f>
        <v/>
      </c>
      <c r="K39" s="491" t="s">
        <v>332</v>
      </c>
      <c r="L39" s="516" t="str">
        <f>IFERROR(VLOOKUP(3,$D$8:$O$21,9,FALSE),"")</f>
        <v/>
      </c>
      <c r="M39" s="525" t="str">
        <f>IFERROR(VLOOKUP(3,$D$8:$T$21,17,FALSE),"")</f>
        <v/>
      </c>
      <c r="N39" s="525">
        <f t="shared" si="2"/>
        <v>2026</v>
      </c>
      <c r="O39" s="525">
        <f t="shared" si="2"/>
        <v>2026</v>
      </c>
      <c r="P39" s="563" t="s">
        <v>224</v>
      </c>
      <c r="Q39" s="569" t="s">
        <v>119</v>
      </c>
      <c r="R39" s="574" t="str">
        <f>IFERROR(IF(ISBLANK(M39),"",INT(M39/3)),"")</f>
        <v/>
      </c>
      <c r="S39" s="498" t="s">
        <v>74</v>
      </c>
      <c r="T39" s="583"/>
      <c r="U39" s="596" t="s">
        <v>225</v>
      </c>
      <c r="V39" s="536" t="str">
        <f>IFERROR(IF(ISBLANK(M39),"",INT(R39*T39/100)),"")</f>
        <v/>
      </c>
      <c r="W39" s="631"/>
      <c r="X39" s="639" t="s">
        <v>239</v>
      </c>
      <c r="Y39" s="645"/>
      <c r="AA39" s="649">
        <v>34</v>
      </c>
      <c r="AB39" s="655" t="str">
        <f>IF('2-1（収支報告書　記載例）'!$A73="","",'2-1（収支報告書　記載例）'!$A73)</f>
        <v/>
      </c>
      <c r="AC39" s="663">
        <f t="shared" si="0"/>
        <v>0</v>
      </c>
      <c r="AD39" s="671"/>
      <c r="AE39" s="679"/>
      <c r="AF39" s="671"/>
      <c r="AG39" s="679"/>
      <c r="AH39" s="671"/>
      <c r="AI39" s="679"/>
      <c r="AJ39" s="671"/>
      <c r="AK39" s="679"/>
      <c r="AL39" s="671"/>
      <c r="AM39" s="679"/>
      <c r="AN39" s="671"/>
      <c r="AO39" s="679"/>
      <c r="AP39" s="671"/>
      <c r="AQ39" s="679"/>
      <c r="AR39" s="671"/>
      <c r="AS39" s="679"/>
      <c r="AT39" s="671"/>
      <c r="AU39" s="679"/>
      <c r="AV39" s="671"/>
      <c r="AW39" s="679"/>
      <c r="AX39" s="671"/>
      <c r="AY39" s="679"/>
    </row>
    <row r="40" spans="8:51" ht="21.95" customHeight="1">
      <c r="H40" s="469">
        <v>4</v>
      </c>
      <c r="I40" s="479" t="str">
        <f>IFERROR(VLOOKUP(4,$D$8:$O$21,6,FALSE),"")</f>
        <v/>
      </c>
      <c r="J40" s="491" t="str">
        <f>IFERROR(VLOOKUP(4,$D$8:$O$21,7,FALSE),"")</f>
        <v/>
      </c>
      <c r="K40" s="491" t="s">
        <v>332</v>
      </c>
      <c r="L40" s="516" t="str">
        <f>IFERROR(VLOOKUP(4,$D$8:$O$21,9,FALSE),"")</f>
        <v/>
      </c>
      <c r="M40" s="525" t="str">
        <f>IFERROR(VLOOKUP(4,$D$8:$T$21,17,FALSE),"")</f>
        <v/>
      </c>
      <c r="N40" s="525">
        <f t="shared" si="2"/>
        <v>2026</v>
      </c>
      <c r="O40" s="525">
        <f t="shared" si="2"/>
        <v>2026</v>
      </c>
      <c r="P40" s="563" t="s">
        <v>224</v>
      </c>
      <c r="Q40" s="569" t="s">
        <v>119</v>
      </c>
      <c r="R40" s="574" t="str">
        <f>IFERROR(IF(ISBLANK(M40),"",INT(M40/3)),"")</f>
        <v/>
      </c>
      <c r="S40" s="498" t="s">
        <v>74</v>
      </c>
      <c r="T40" s="583"/>
      <c r="U40" s="596" t="s">
        <v>225</v>
      </c>
      <c r="V40" s="536" t="str">
        <f>IFERROR(IF(ISBLANK(M40),"",INT(R40*T40/100)),"")</f>
        <v/>
      </c>
      <c r="W40" s="631"/>
      <c r="X40" s="639" t="s">
        <v>239</v>
      </c>
      <c r="Y40" s="645"/>
      <c r="AA40" s="649">
        <v>35</v>
      </c>
      <c r="AB40" s="655" t="str">
        <f>IF('2-1（収支報告書　記載例）'!$A74="","",'2-1（収支報告書　記載例）'!$A74)</f>
        <v/>
      </c>
      <c r="AC40" s="663">
        <f t="shared" si="0"/>
        <v>0</v>
      </c>
      <c r="AD40" s="671"/>
      <c r="AE40" s="679"/>
      <c r="AF40" s="671"/>
      <c r="AG40" s="679"/>
      <c r="AH40" s="671"/>
      <c r="AI40" s="679"/>
      <c r="AJ40" s="671"/>
      <c r="AK40" s="679"/>
      <c r="AL40" s="671"/>
      <c r="AM40" s="679"/>
      <c r="AN40" s="671"/>
      <c r="AO40" s="679"/>
      <c r="AP40" s="671"/>
      <c r="AQ40" s="679"/>
      <c r="AR40" s="671"/>
      <c r="AS40" s="679"/>
      <c r="AT40" s="671"/>
      <c r="AU40" s="679"/>
      <c r="AV40" s="671"/>
      <c r="AW40" s="679"/>
      <c r="AX40" s="671"/>
      <c r="AY40" s="679"/>
    </row>
    <row r="41" spans="8:51" ht="21.95" customHeight="1">
      <c r="H41" s="469">
        <v>5</v>
      </c>
      <c r="I41" s="479" t="str">
        <f>IFERROR(VLOOKUP(5,$D$8:$O$21,6,FALSE),"")</f>
        <v/>
      </c>
      <c r="J41" s="491" t="str">
        <f>IFERROR(VLOOKUP(5,$D$8:$O$21,7,FALSE),"")</f>
        <v/>
      </c>
      <c r="K41" s="491" t="s">
        <v>332</v>
      </c>
      <c r="L41" s="494" t="str">
        <f>IFERROR(VLOOKUP(5,$D$8:$O$21,9,FALSE),"")</f>
        <v/>
      </c>
      <c r="M41" s="525" t="str">
        <f>IFERROR(VLOOKUP(5,$D$8:$T$21,17,FALSE),"")</f>
        <v/>
      </c>
      <c r="N41" s="525">
        <f t="shared" si="2"/>
        <v>2026</v>
      </c>
      <c r="O41" s="525">
        <f t="shared" si="2"/>
        <v>2026</v>
      </c>
      <c r="P41" s="564" t="s">
        <v>224</v>
      </c>
      <c r="Q41" s="570" t="s">
        <v>119</v>
      </c>
      <c r="R41" s="574" t="str">
        <f>IFERROR(IF(ISBLANK(M41),"",INT(M41/3)),"")</f>
        <v/>
      </c>
      <c r="S41" s="499" t="s">
        <v>74</v>
      </c>
      <c r="T41" s="583"/>
      <c r="U41" s="597" t="s">
        <v>225</v>
      </c>
      <c r="V41" s="536" t="str">
        <f>IFERROR(IF(ISBLANK(M41),"",INT(R41*T41/100)),"")</f>
        <v/>
      </c>
      <c r="W41" s="632"/>
      <c r="X41" s="640" t="s">
        <v>239</v>
      </c>
      <c r="Y41" s="646"/>
      <c r="AA41" s="649">
        <v>36</v>
      </c>
      <c r="AB41" s="655" t="str">
        <f>IF('2-1（収支報告書　記載例）'!$A75="","",'2-1（収支報告書　記載例）'!$A75)</f>
        <v/>
      </c>
      <c r="AC41" s="663">
        <f t="shared" si="0"/>
        <v>0</v>
      </c>
      <c r="AD41" s="671"/>
      <c r="AE41" s="679"/>
      <c r="AF41" s="671"/>
      <c r="AG41" s="679"/>
      <c r="AH41" s="671"/>
      <c r="AI41" s="679"/>
      <c r="AJ41" s="671"/>
      <c r="AK41" s="679"/>
      <c r="AL41" s="671"/>
      <c r="AM41" s="679"/>
      <c r="AN41" s="671"/>
      <c r="AO41" s="679"/>
      <c r="AP41" s="671"/>
      <c r="AQ41" s="679"/>
      <c r="AR41" s="671"/>
      <c r="AS41" s="679"/>
      <c r="AT41" s="671"/>
      <c r="AU41" s="679"/>
      <c r="AV41" s="671"/>
      <c r="AW41" s="679"/>
      <c r="AX41" s="671"/>
      <c r="AY41" s="679"/>
    </row>
    <row r="42" spans="8:51" ht="21.95" customHeight="1">
      <c r="H42" s="473"/>
      <c r="I42" s="481"/>
      <c r="J42" s="473"/>
      <c r="K42" s="473"/>
      <c r="L42" s="473"/>
      <c r="M42" s="473"/>
      <c r="N42" s="473"/>
      <c r="O42" s="473"/>
      <c r="P42" s="565"/>
      <c r="Q42" s="472" t="s">
        <v>30</v>
      </c>
      <c r="R42" s="472"/>
      <c r="S42" s="472"/>
      <c r="T42" s="472"/>
      <c r="U42" s="598"/>
      <c r="V42" s="613">
        <f>SUM(V37:V41)</f>
        <v>37500</v>
      </c>
      <c r="W42" s="611"/>
      <c r="X42" s="611"/>
      <c r="Y42" s="611"/>
      <c r="AA42" s="650">
        <v>37</v>
      </c>
      <c r="AB42" s="656" t="str">
        <f>IF('2-1（収支報告書　記載例）'!$A76="","",'2-1（収支報告書　記載例）'!$A76)</f>
        <v/>
      </c>
      <c r="AC42" s="664">
        <f t="shared" si="0"/>
        <v>0</v>
      </c>
      <c r="AD42" s="672"/>
      <c r="AE42" s="680"/>
      <c r="AF42" s="672"/>
      <c r="AG42" s="680"/>
      <c r="AH42" s="672"/>
      <c r="AI42" s="680"/>
      <c r="AJ42" s="672"/>
      <c r="AK42" s="680"/>
      <c r="AL42" s="672"/>
      <c r="AM42" s="680"/>
      <c r="AN42" s="672"/>
      <c r="AO42" s="680"/>
      <c r="AP42" s="672"/>
      <c r="AQ42" s="680"/>
      <c r="AR42" s="672"/>
      <c r="AS42" s="680"/>
      <c r="AT42" s="672"/>
      <c r="AU42" s="680"/>
      <c r="AV42" s="672"/>
      <c r="AW42" s="680"/>
      <c r="AX42" s="672"/>
      <c r="AY42" s="680"/>
    </row>
    <row r="43" spans="8:51" ht="21.95" customHeight="1"/>
    <row r="44" spans="8:51" ht="21.95" customHeight="1">
      <c r="H44" s="471" t="s">
        <v>241</v>
      </c>
    </row>
    <row r="45" spans="8:51" ht="21.95" customHeight="1">
      <c r="H45" s="468"/>
      <c r="I45" s="475" t="s">
        <v>90</v>
      </c>
      <c r="J45" s="485" t="s">
        <v>7</v>
      </c>
      <c r="K45" s="504"/>
      <c r="L45" s="475"/>
      <c r="M45" s="524" t="s">
        <v>242</v>
      </c>
      <c r="N45" s="520" t="s">
        <v>74</v>
      </c>
      <c r="O45" s="475" t="s">
        <v>244</v>
      </c>
      <c r="P45" s="520" t="s">
        <v>74</v>
      </c>
      <c r="Q45" s="485" t="s">
        <v>202</v>
      </c>
      <c r="R45" s="517"/>
      <c r="S45" s="520" t="s">
        <v>74</v>
      </c>
      <c r="T45" s="584" t="s">
        <v>136</v>
      </c>
      <c r="U45" s="599" t="s">
        <v>225</v>
      </c>
      <c r="V45" s="614" t="s">
        <v>32</v>
      </c>
      <c r="W45" s="630" t="s">
        <v>237</v>
      </c>
      <c r="X45" s="504"/>
      <c r="Y45" s="623"/>
    </row>
    <row r="46" spans="8:51" ht="21.95" customHeight="1">
      <c r="H46" s="474">
        <v>1</v>
      </c>
      <c r="I46" s="482" t="str">
        <f>IFERROR(VLOOKUP(1,$E$8:$T$12,5,FALSE),"")</f>
        <v>ラジコン草刈り機</v>
      </c>
      <c r="J46" s="493" t="str">
        <f>IFERROR(VLOOKUP(1,$E$8:$T$12,6,FALSE),"")</f>
        <v>R8</v>
      </c>
      <c r="K46" s="506" t="s">
        <v>332</v>
      </c>
      <c r="L46" s="506">
        <f>IFERROR(VLOOKUP(1,$E$8:$T$12,8,FALSE),"")</f>
        <v>9</v>
      </c>
      <c r="M46" s="529">
        <f>IFERROR(VLOOKUP(1,$E$8:$T$12,16,FALSE),"")</f>
        <v>375000</v>
      </c>
      <c r="N46" s="498" t="s">
        <v>74</v>
      </c>
      <c r="O46" s="552">
        <v>0.14299999999999999</v>
      </c>
      <c r="P46" s="498" t="s">
        <v>74</v>
      </c>
      <c r="Q46" s="571">
        <v>4</v>
      </c>
      <c r="R46" s="575" t="s">
        <v>63</v>
      </c>
      <c r="S46" s="498" t="s">
        <v>74</v>
      </c>
      <c r="T46" s="585">
        <v>100</v>
      </c>
      <c r="U46" s="600" t="s">
        <v>225</v>
      </c>
      <c r="V46" s="536">
        <f>IFERROR(IF(ISBLANK(M46),"",INT(M46*O46*(Q46/12)*(T46/100))),"")</f>
        <v>17875</v>
      </c>
      <c r="W46" s="631" t="s">
        <v>338</v>
      </c>
      <c r="X46" s="639" t="s">
        <v>239</v>
      </c>
      <c r="Y46" s="645" t="s">
        <v>167</v>
      </c>
    </row>
    <row r="47" spans="8:51" ht="21.95" customHeight="1">
      <c r="H47" s="474">
        <v>2</v>
      </c>
      <c r="I47" s="482" t="str">
        <f>IFERROR(VLOOKUP(2,$E$8:$T$12,5,FALSE),"")</f>
        <v/>
      </c>
      <c r="J47" s="494" t="str">
        <f>IFERROR(VLOOKUP(2,$E$8:$T$12,6,FALSE),"")</f>
        <v/>
      </c>
      <c r="K47" s="507" t="s">
        <v>332</v>
      </c>
      <c r="L47" s="507" t="str">
        <f>IFERROR(VLOOKUP(2,$E$8:$T$12,8,FALSE),"")</f>
        <v/>
      </c>
      <c r="M47" s="529" t="str">
        <f>IFERROR(VLOOKUP(2,$E$8:$T$12,16,FALSE),"")</f>
        <v/>
      </c>
      <c r="N47" s="498" t="s">
        <v>74</v>
      </c>
      <c r="O47" s="552"/>
      <c r="P47" s="498" t="s">
        <v>74</v>
      </c>
      <c r="Q47" s="571"/>
      <c r="R47" s="575" t="s">
        <v>63</v>
      </c>
      <c r="S47" s="498" t="s">
        <v>74</v>
      </c>
      <c r="T47" s="585"/>
      <c r="U47" s="600" t="s">
        <v>225</v>
      </c>
      <c r="V47" s="536" t="str">
        <f>IFERROR(IF(ISBLANK(M47),"",INT(M47*O47*(Q47/12)*(T47/100))),"")</f>
        <v/>
      </c>
      <c r="W47" s="631"/>
      <c r="X47" s="639" t="s">
        <v>239</v>
      </c>
      <c r="Y47" s="645"/>
      <c r="AB47" s="657" t="s">
        <v>222</v>
      </c>
    </row>
    <row r="48" spans="8:51" ht="21.95" customHeight="1">
      <c r="H48" s="474">
        <v>3</v>
      </c>
      <c r="I48" s="482" t="str">
        <f>IFERROR(VLOOKUP(3,$E$8:$T$12,5,FALSE),"")</f>
        <v/>
      </c>
      <c r="J48" s="494" t="str">
        <f>IFERROR(VLOOKUP(3,$E$8:$T$12,6,FALSE),"")</f>
        <v/>
      </c>
      <c r="K48" s="507" t="s">
        <v>332</v>
      </c>
      <c r="L48" s="507" t="str">
        <f>IFERROR(VLOOKUP(3,$E$8:$T$12,8,FALSE),"")</f>
        <v/>
      </c>
      <c r="M48" s="529" t="str">
        <f>IFERROR(VLOOKUP(3,$E$8:$T$12,16,FALSE),"")</f>
        <v/>
      </c>
      <c r="N48" s="498" t="s">
        <v>74</v>
      </c>
      <c r="O48" s="552"/>
      <c r="P48" s="498" t="s">
        <v>74</v>
      </c>
      <c r="Q48" s="571"/>
      <c r="R48" s="575" t="s">
        <v>63</v>
      </c>
      <c r="S48" s="498" t="s">
        <v>74</v>
      </c>
      <c r="T48" s="585"/>
      <c r="U48" s="600" t="s">
        <v>225</v>
      </c>
      <c r="V48" s="536" t="str">
        <f>IFERROR(IF(ISBLANK(M48),"",INT(M48*O48*(Q48/12)*(T48/100))),"")</f>
        <v/>
      </c>
      <c r="W48" s="631"/>
      <c r="X48" s="639" t="s">
        <v>239</v>
      </c>
      <c r="Y48" s="645"/>
      <c r="AB48" s="657" t="s">
        <v>333</v>
      </c>
    </row>
    <row r="49" spans="8:29" ht="21.95" customHeight="1">
      <c r="H49" s="474">
        <v>4</v>
      </c>
      <c r="I49" s="482" t="str">
        <f>IFERROR(VLOOKUP(4,$E$8:$T$12,5,FALSE),"")</f>
        <v/>
      </c>
      <c r="J49" s="494" t="str">
        <f>IFERROR(VLOOKUP(4,$E$8:$T$12,6,FALSE),"")</f>
        <v/>
      </c>
      <c r="K49" s="507" t="s">
        <v>332</v>
      </c>
      <c r="L49" s="507" t="str">
        <f>IFERROR(VLOOKUP(4,$E$8:$T$12,8,FALSE),"")</f>
        <v/>
      </c>
      <c r="M49" s="529" t="str">
        <f>IFERROR(VLOOKUP(4,$E$8:$T$12,16,FALSE),"")</f>
        <v/>
      </c>
      <c r="N49" s="498" t="s">
        <v>74</v>
      </c>
      <c r="O49" s="552"/>
      <c r="P49" s="498" t="s">
        <v>74</v>
      </c>
      <c r="Q49" s="571"/>
      <c r="R49" s="575" t="s">
        <v>63</v>
      </c>
      <c r="S49" s="498" t="s">
        <v>74</v>
      </c>
      <c r="T49" s="585"/>
      <c r="U49" s="600" t="s">
        <v>225</v>
      </c>
      <c r="V49" s="536" t="str">
        <f>IFERROR(IF(ISBLANK(M49),"",INT(M49*O49*(Q49/12)*(T49/100))),"")</f>
        <v/>
      </c>
      <c r="W49" s="631"/>
      <c r="X49" s="639" t="s">
        <v>239</v>
      </c>
      <c r="Y49" s="645"/>
      <c r="AB49" s="658" t="s">
        <v>85</v>
      </c>
    </row>
    <row r="50" spans="8:29" ht="21.95" customHeight="1">
      <c r="H50" s="474">
        <v>5</v>
      </c>
      <c r="I50" s="482" t="str">
        <f>IFERROR(VLOOKUP(5,$E$8:$T$12,5,FALSE),"")</f>
        <v/>
      </c>
      <c r="J50" s="495" t="str">
        <f>IFERROR(VLOOKUP(5,$E$8:$T$12,6,FALSE),"")</f>
        <v/>
      </c>
      <c r="K50" s="508" t="s">
        <v>332</v>
      </c>
      <c r="L50" s="508" t="str">
        <f>IFERROR(VLOOKUP(5,$E$8:$T$12,8,FALSE),"")</f>
        <v/>
      </c>
      <c r="M50" s="530" t="str">
        <f>IFERROR(VLOOKUP(5,$E$8:$T$12,16,FALSE),"")</f>
        <v/>
      </c>
      <c r="N50" s="499" t="s">
        <v>74</v>
      </c>
      <c r="O50" s="553"/>
      <c r="P50" s="499" t="s">
        <v>74</v>
      </c>
      <c r="Q50" s="571"/>
      <c r="R50" s="575" t="s">
        <v>63</v>
      </c>
      <c r="S50" s="499" t="s">
        <v>74</v>
      </c>
      <c r="T50" s="585"/>
      <c r="U50" s="601" t="s">
        <v>225</v>
      </c>
      <c r="V50" s="536" t="str">
        <f>IFERROR(IF(ISBLANK(M50),"",INT(M50*O50*(Q50/12)*(T50/100))),"")</f>
        <v/>
      </c>
      <c r="W50" s="632"/>
      <c r="X50" s="640" t="s">
        <v>239</v>
      </c>
      <c r="Y50" s="646"/>
      <c r="AB50" s="657" t="s">
        <v>143</v>
      </c>
    </row>
    <row r="51" spans="8:29" ht="21.95" customHeight="1">
      <c r="H51" s="473"/>
      <c r="I51" s="481"/>
      <c r="J51" s="496"/>
      <c r="K51" s="496"/>
      <c r="L51" s="496"/>
      <c r="O51" s="492"/>
      <c r="P51" s="528"/>
      <c r="Q51" s="572" t="s">
        <v>134</v>
      </c>
      <c r="R51" s="576"/>
      <c r="S51" s="528"/>
      <c r="T51" s="576"/>
      <c r="U51" s="602"/>
      <c r="V51" s="615">
        <f>SUM(V46:V50)</f>
        <v>17875</v>
      </c>
    </row>
    <row r="52" spans="8:29" ht="21.95" customHeight="1">
      <c r="I52" s="463"/>
      <c r="O52" s="492"/>
      <c r="P52" s="528"/>
      <c r="Q52" s="492"/>
      <c r="R52" s="528"/>
      <c r="S52" s="568"/>
      <c r="T52" s="528"/>
      <c r="U52" s="568"/>
    </row>
    <row r="53" spans="8:29" ht="21.95" customHeight="1">
      <c r="H53" s="471" t="s">
        <v>243</v>
      </c>
    </row>
    <row r="54" spans="8:29" ht="21.75" customHeight="1">
      <c r="H54" s="468"/>
      <c r="I54" s="475" t="s">
        <v>90</v>
      </c>
      <c r="J54" s="485" t="s">
        <v>7</v>
      </c>
      <c r="K54" s="504"/>
      <c r="L54" s="475"/>
      <c r="M54" s="524" t="s">
        <v>242</v>
      </c>
      <c r="N54" s="520" t="s">
        <v>74</v>
      </c>
      <c r="O54" s="475" t="s">
        <v>244</v>
      </c>
      <c r="P54" s="520" t="s">
        <v>74</v>
      </c>
      <c r="Q54" s="485" t="s">
        <v>202</v>
      </c>
      <c r="R54" s="517"/>
      <c r="S54" s="520" t="s">
        <v>74</v>
      </c>
      <c r="T54" s="584" t="s">
        <v>136</v>
      </c>
      <c r="U54" s="599" t="s">
        <v>225</v>
      </c>
      <c r="V54" s="614" t="s">
        <v>32</v>
      </c>
      <c r="W54" s="630" t="s">
        <v>237</v>
      </c>
      <c r="X54" s="504"/>
      <c r="Y54" s="623"/>
    </row>
    <row r="55" spans="8:29" ht="21.95" customHeight="1">
      <c r="H55" s="469">
        <v>1</v>
      </c>
      <c r="I55" s="479" t="str">
        <f>IFERROR(VLOOKUP(1,$E$17:$T$21,5,FALSE),"")</f>
        <v>農薬撒布用ドローン</v>
      </c>
      <c r="J55" s="497" t="str">
        <f>IFERROR(VLOOKUP(1,$E$17:$T$21,6,FALSE),"")</f>
        <v>R7</v>
      </c>
      <c r="K55" s="509" t="s">
        <v>332</v>
      </c>
      <c r="L55" s="509">
        <f>IFERROR(VLOOKUP(1,$E$17:$T$21,8,FALSE),"")</f>
        <v>10</v>
      </c>
      <c r="M55" s="529">
        <f>IFERROR(VLOOKUP(1,$E$17:$T$21,16,FALSE),"")</f>
        <v>208333</v>
      </c>
      <c r="N55" s="498" t="s">
        <v>74</v>
      </c>
      <c r="O55" s="552">
        <v>0.14299999999999999</v>
      </c>
      <c r="P55" s="498" t="s">
        <v>74</v>
      </c>
      <c r="Q55" s="571">
        <v>12</v>
      </c>
      <c r="R55" s="575" t="s">
        <v>245</v>
      </c>
      <c r="S55" s="498" t="s">
        <v>74</v>
      </c>
      <c r="T55" s="585">
        <v>100</v>
      </c>
      <c r="U55" s="600" t="s">
        <v>225</v>
      </c>
      <c r="V55" s="536">
        <f>IFERROR(IF(ISBLANK(M55),"",INT(M55*O55*(Q55/12)*(T55/100))),"")</f>
        <v>29791</v>
      </c>
      <c r="W55" s="631" t="s">
        <v>309</v>
      </c>
      <c r="X55" s="639" t="s">
        <v>239</v>
      </c>
      <c r="Y55" s="645" t="s">
        <v>339</v>
      </c>
    </row>
    <row r="56" spans="8:29" ht="21.95" customHeight="1">
      <c r="H56" s="469">
        <v>2</v>
      </c>
      <c r="I56" s="479" t="str">
        <f>IFERROR(VLOOKUP(2,$E$17:$T$21,5,FALSE),"")</f>
        <v>コンバイン</v>
      </c>
      <c r="J56" s="498" t="str">
        <f>IFERROR(VLOOKUP(2,$E$17:$T$21,6,FALSE),"")</f>
        <v>R1</v>
      </c>
      <c r="K56" s="510" t="s">
        <v>332</v>
      </c>
      <c r="L56" s="510">
        <f>IFERROR(VLOOKUP(2,$E$17:$T$21,8,FALSE),"")</f>
        <v>3</v>
      </c>
      <c r="M56" s="529">
        <f>IFERROR(VLOOKUP(2,$E$17:$T$21,16,FALSE),"")</f>
        <v>333333</v>
      </c>
      <c r="N56" s="498" t="s">
        <v>74</v>
      </c>
      <c r="O56" s="552"/>
      <c r="P56" s="498" t="s">
        <v>74</v>
      </c>
      <c r="Q56" s="571"/>
      <c r="R56" s="575" t="s">
        <v>245</v>
      </c>
      <c r="S56" s="498" t="s">
        <v>74</v>
      </c>
      <c r="T56" s="585"/>
      <c r="U56" s="600" t="s">
        <v>225</v>
      </c>
      <c r="V56" s="536">
        <f>IFERROR(IF(ISBLANK(M56),"",INT(M56*O56*(Q56/12)*(T56/100))),"")</f>
        <v>0</v>
      </c>
      <c r="W56" s="631"/>
      <c r="X56" s="639" t="s">
        <v>239</v>
      </c>
      <c r="Y56" s="645"/>
    </row>
    <row r="57" spans="8:29" ht="21.95" customHeight="1">
      <c r="H57" s="469">
        <v>3</v>
      </c>
      <c r="I57" s="479" t="str">
        <f>IFERROR(VLOOKUP(3,$E$17:$T$21,5,FALSE),"")</f>
        <v/>
      </c>
      <c r="J57" s="498" t="str">
        <f>IFERROR(VLOOKUP(3,$E$17:$T$21,6,FALSE),"")</f>
        <v/>
      </c>
      <c r="K57" s="510" t="s">
        <v>332</v>
      </c>
      <c r="L57" s="510" t="str">
        <f>IFERROR(VLOOKUP(3,$E$17:$T$21,8,FALSE),"")</f>
        <v/>
      </c>
      <c r="M57" s="529" t="str">
        <f>IFERROR(VLOOKUP(3,$E$17:$T$21,16,FALSE),"")</f>
        <v/>
      </c>
      <c r="N57" s="498" t="s">
        <v>74</v>
      </c>
      <c r="O57" s="552"/>
      <c r="P57" s="498" t="s">
        <v>74</v>
      </c>
      <c r="Q57" s="571"/>
      <c r="R57" s="575" t="s">
        <v>245</v>
      </c>
      <c r="S57" s="498" t="s">
        <v>74</v>
      </c>
      <c r="T57" s="585"/>
      <c r="U57" s="600" t="s">
        <v>225</v>
      </c>
      <c r="V57" s="536" t="str">
        <f>IFERROR(IF(ISBLANK(M57),"",INT(M57*O57*(Q57/12)*(T57/100))),"")</f>
        <v/>
      </c>
      <c r="W57" s="631"/>
      <c r="X57" s="639" t="s">
        <v>239</v>
      </c>
      <c r="Y57" s="645"/>
    </row>
    <row r="58" spans="8:29" ht="21.95" customHeight="1">
      <c r="H58" s="469">
        <v>4</v>
      </c>
      <c r="I58" s="479" t="str">
        <f>IFERROR(VLOOKUP(4,$E$17:$T$21,5,FALSE),"")</f>
        <v/>
      </c>
      <c r="J58" s="498" t="str">
        <f>IFERROR(VLOOKUP(4,$E$17:$T$21,6,FALSE),"")</f>
        <v/>
      </c>
      <c r="K58" s="510" t="s">
        <v>332</v>
      </c>
      <c r="L58" s="510" t="str">
        <f>IFERROR(VLOOKUP(4,$E$17:$T$21,8,FALSE),"")</f>
        <v/>
      </c>
      <c r="M58" s="529" t="str">
        <f>IFERROR(VLOOKUP(4,$E$17:$T$21,16,FALSE),"")</f>
        <v/>
      </c>
      <c r="N58" s="498" t="s">
        <v>74</v>
      </c>
      <c r="O58" s="552"/>
      <c r="P58" s="498" t="s">
        <v>74</v>
      </c>
      <c r="Q58" s="571"/>
      <c r="R58" s="575" t="s">
        <v>245</v>
      </c>
      <c r="S58" s="498" t="s">
        <v>74</v>
      </c>
      <c r="T58" s="585"/>
      <c r="U58" s="600" t="s">
        <v>225</v>
      </c>
      <c r="V58" s="536" t="str">
        <f>IFERROR(IF(ISBLANK(M58),"",INT(M58*O58*(Q58/12)*(T58/100))),"")</f>
        <v/>
      </c>
      <c r="W58" s="631"/>
      <c r="X58" s="639" t="s">
        <v>239</v>
      </c>
      <c r="Y58" s="645"/>
    </row>
    <row r="59" spans="8:29" ht="21.95" customHeight="1">
      <c r="H59" s="470">
        <v>5</v>
      </c>
      <c r="I59" s="483" t="str">
        <f>IFERROR(VLOOKUP(5,$E$17:$T$21,5,FALSE),"")</f>
        <v/>
      </c>
      <c r="J59" s="499" t="str">
        <f>IFERROR(VLOOKUP(5,$E$17:$T$21,6,FALSE),"")</f>
        <v/>
      </c>
      <c r="K59" s="511" t="s">
        <v>332</v>
      </c>
      <c r="L59" s="511" t="str">
        <f>IFERROR(VLOOKUP(5,$E$17:$T$21,8,FALSE),"")</f>
        <v/>
      </c>
      <c r="M59" s="531" t="str">
        <f>IFERROR(VLOOKUP(5,$E$17:$T$21,16,FALSE),"")</f>
        <v/>
      </c>
      <c r="N59" s="499" t="s">
        <v>74</v>
      </c>
      <c r="O59" s="553"/>
      <c r="P59" s="499" t="s">
        <v>74</v>
      </c>
      <c r="Q59" s="573"/>
      <c r="R59" s="577" t="s">
        <v>245</v>
      </c>
      <c r="S59" s="499" t="s">
        <v>74</v>
      </c>
      <c r="T59" s="586"/>
      <c r="U59" s="601" t="s">
        <v>225</v>
      </c>
      <c r="V59" s="616" t="str">
        <f>IFERROR(IF(ISBLANK(M59),"",INT(M59*O59*(Q59/12)*(T59/100))),"")</f>
        <v/>
      </c>
      <c r="W59" s="632"/>
      <c r="X59" s="640" t="s">
        <v>239</v>
      </c>
      <c r="Y59" s="646"/>
    </row>
    <row r="60" spans="8:29" ht="21.95" customHeight="1">
      <c r="I60" s="463"/>
      <c r="O60" s="492"/>
      <c r="P60" s="528"/>
      <c r="Q60" s="492" t="s">
        <v>123</v>
      </c>
      <c r="R60" s="528"/>
      <c r="S60" s="528"/>
      <c r="T60" s="528"/>
      <c r="U60" s="602"/>
      <c r="V60" s="617">
        <f>SUM(V55:V59)</f>
        <v>29791</v>
      </c>
    </row>
    <row r="61" spans="8:29" ht="21.95" customHeight="1">
      <c r="I61" s="463"/>
      <c r="O61" s="492"/>
      <c r="P61" s="528"/>
      <c r="Q61" s="492"/>
      <c r="R61" s="528"/>
      <c r="S61" s="528"/>
      <c r="T61" s="528"/>
      <c r="U61" s="603"/>
      <c r="V61" s="610"/>
    </row>
    <row r="62" spans="8:29" ht="21.95" customHeight="1">
      <c r="H62" s="471" t="s">
        <v>263</v>
      </c>
    </row>
    <row r="63" spans="8:29" s="461" customFormat="1" ht="32.25" customHeight="1">
      <c r="H63" s="468"/>
      <c r="I63" s="475" t="s">
        <v>90</v>
      </c>
      <c r="J63" s="485" t="s">
        <v>7</v>
      </c>
      <c r="K63" s="504"/>
      <c r="L63" s="475"/>
      <c r="M63" s="532" t="s">
        <v>103</v>
      </c>
      <c r="N63" s="542"/>
      <c r="O63" s="554"/>
      <c r="P63" s="558" t="s">
        <v>224</v>
      </c>
      <c r="Q63" s="520" t="s">
        <v>212</v>
      </c>
      <c r="R63" s="520"/>
      <c r="S63" s="520" t="s">
        <v>74</v>
      </c>
      <c r="T63" s="584" t="s">
        <v>136</v>
      </c>
      <c r="U63" s="599" t="s">
        <v>225</v>
      </c>
      <c r="V63" s="548" t="s">
        <v>32</v>
      </c>
      <c r="W63" s="630" t="s">
        <v>237</v>
      </c>
      <c r="X63" s="504"/>
      <c r="Y63" s="623"/>
      <c r="AA63" s="461"/>
      <c r="AB63" s="461"/>
      <c r="AC63" s="464"/>
    </row>
    <row r="64" spans="8:29" s="461" customFormat="1" ht="21.95" customHeight="1">
      <c r="H64" s="469">
        <v>1</v>
      </c>
      <c r="I64" s="479" t="str">
        <f>IFERROR(VLOOKUP(1,$F$17:$T$21,4,FALSE),"")</f>
        <v/>
      </c>
      <c r="J64" s="497" t="str">
        <f>IFERROR(VLOOKUP(1,$F$17:$T$21,5,FALSE),"")</f>
        <v/>
      </c>
      <c r="K64" s="509" t="s">
        <v>332</v>
      </c>
      <c r="L64" s="509" t="str">
        <f>IFERROR(VLOOKUP(1,$F$17:$T$21,7,FALSE),"")</f>
        <v/>
      </c>
      <c r="M64" s="533">
        <v>91334</v>
      </c>
      <c r="N64" s="543"/>
      <c r="O64" s="555"/>
      <c r="P64" s="559" t="s">
        <v>224</v>
      </c>
      <c r="Q64" s="498" t="str">
        <f>IFERROR(VLOOKUP(1,$F$17:$T$21,12,FALSE),"")</f>
        <v/>
      </c>
      <c r="R64" s="498" t="str">
        <f>IFERROR(VLOOKUP(1,$F$17:$T$21,7,FALSE),"")</f>
        <v/>
      </c>
      <c r="S64" s="498" t="s">
        <v>74</v>
      </c>
      <c r="T64" s="585">
        <v>100</v>
      </c>
      <c r="U64" s="600" t="s">
        <v>225</v>
      </c>
      <c r="V64" s="618" t="str">
        <f>IFERROR(IF(I64="","",INT((M64-1)/Q64*(T64/100))),"")</f>
        <v/>
      </c>
      <c r="W64" s="631" t="s">
        <v>217</v>
      </c>
      <c r="X64" s="639" t="s">
        <v>239</v>
      </c>
      <c r="Y64" s="645" t="s">
        <v>328</v>
      </c>
      <c r="AA64" s="461"/>
      <c r="AB64" s="461"/>
      <c r="AC64" s="464"/>
    </row>
    <row r="65" spans="7:29" s="461" customFormat="1" ht="21.75" customHeight="1">
      <c r="G65" s="461"/>
      <c r="H65" s="469">
        <v>2</v>
      </c>
      <c r="I65" s="479" t="str">
        <f>IFERROR(VLOOKUP(2,$F$17:$T$21,4,FALSE),"")</f>
        <v/>
      </c>
      <c r="J65" s="498" t="str">
        <f>IFERROR(VLOOKUP(2,$F$17:$T$21,5,FALSE),"")</f>
        <v/>
      </c>
      <c r="K65" s="510" t="s">
        <v>332</v>
      </c>
      <c r="L65" s="510" t="str">
        <f>IFERROR(VLOOKUP(2,$F$17:$T$21,7,FALSE),"")</f>
        <v/>
      </c>
      <c r="M65" s="533"/>
      <c r="N65" s="543"/>
      <c r="O65" s="555"/>
      <c r="P65" s="559" t="s">
        <v>224</v>
      </c>
      <c r="Q65" s="498" t="str">
        <f>IFERROR(VLOOKUP(2,$F$17:$T$21,12,FALSE),"")</f>
        <v/>
      </c>
      <c r="R65" s="498" t="str">
        <f>IFERROR(VLOOKUP(1,$F$17:$T$21,7,FALSE),"")</f>
        <v/>
      </c>
      <c r="S65" s="498" t="s">
        <v>74</v>
      </c>
      <c r="T65" s="585"/>
      <c r="U65" s="600" t="s">
        <v>225</v>
      </c>
      <c r="V65" s="618" t="str">
        <f>IFERROR(IF(I65="","",INT((M65-1)/Q65*(T65/100))),"")</f>
        <v/>
      </c>
      <c r="W65" s="631"/>
      <c r="X65" s="639" t="s">
        <v>239</v>
      </c>
      <c r="Y65" s="645"/>
      <c r="AA65" s="461"/>
      <c r="AB65" s="461"/>
      <c r="AC65" s="464"/>
    </row>
    <row r="66" spans="7:29" s="461" customFormat="1" ht="21.95" customHeight="1">
      <c r="G66" s="464"/>
      <c r="H66" s="469">
        <v>3</v>
      </c>
      <c r="I66" s="479" t="str">
        <f>IFERROR(VLOOKUP(3,$F$17:$T$21,4,FALSE),"")</f>
        <v/>
      </c>
      <c r="J66" s="498" t="str">
        <f>IFERROR(VLOOKUP(3,$F$17:$T$21,5,FALSE),"")</f>
        <v/>
      </c>
      <c r="K66" s="510" t="s">
        <v>332</v>
      </c>
      <c r="L66" s="510" t="str">
        <f>IFERROR(VLOOKUP(3,$F$17:$T$21,7,FALSE),"")</f>
        <v/>
      </c>
      <c r="M66" s="533"/>
      <c r="N66" s="543"/>
      <c r="O66" s="555"/>
      <c r="P66" s="559" t="s">
        <v>224</v>
      </c>
      <c r="Q66" s="498" t="str">
        <f>IFERROR(VLOOKUP(3,$F$17:$T$21,12,FALSE),"")</f>
        <v/>
      </c>
      <c r="R66" s="498" t="str">
        <f>IFERROR(VLOOKUP(1,$F$17:$T$21,7,FALSE),"")</f>
        <v/>
      </c>
      <c r="S66" s="498" t="s">
        <v>74</v>
      </c>
      <c r="T66" s="585"/>
      <c r="U66" s="600" t="s">
        <v>225</v>
      </c>
      <c r="V66" s="618" t="str">
        <f>IFERROR(IF(I66="","",INT((M66-1)/Q66*(T66/100))),"")</f>
        <v/>
      </c>
      <c r="W66" s="631"/>
      <c r="X66" s="639" t="s">
        <v>239</v>
      </c>
      <c r="Y66" s="645"/>
      <c r="AA66" s="461"/>
      <c r="AB66" s="461"/>
      <c r="AC66" s="464"/>
    </row>
    <row r="67" spans="7:29" s="461" customFormat="1" ht="21.95" customHeight="1">
      <c r="G67" s="464"/>
      <c r="H67" s="469">
        <v>4</v>
      </c>
      <c r="I67" s="479" t="str">
        <f>IFERROR(VLOOKUP(4,$F$17:$T$21,4,FALSE),"")</f>
        <v/>
      </c>
      <c r="J67" s="498" t="str">
        <f>IFERROR(VLOOKUP(4,$F$17:$T$21,5,FALSE),"")</f>
        <v/>
      </c>
      <c r="K67" s="510" t="s">
        <v>332</v>
      </c>
      <c r="L67" s="510" t="str">
        <f>IFERROR(VLOOKUP(4,$F$17:$T$21,7,FALSE),"")</f>
        <v/>
      </c>
      <c r="M67" s="533"/>
      <c r="N67" s="543"/>
      <c r="O67" s="555"/>
      <c r="P67" s="559" t="s">
        <v>224</v>
      </c>
      <c r="Q67" s="498" t="str">
        <f>IFERROR(VLOOKUP(4,$F$17:$T$21,12,FALSE),"")</f>
        <v/>
      </c>
      <c r="R67" s="498" t="str">
        <f>IFERROR(VLOOKUP(1,$F$17:$T$21,7,FALSE),"")</f>
        <v/>
      </c>
      <c r="S67" s="498" t="s">
        <v>74</v>
      </c>
      <c r="T67" s="585"/>
      <c r="U67" s="600" t="s">
        <v>225</v>
      </c>
      <c r="V67" s="618" t="str">
        <f>IFERROR(IF(I67="","",INT((M67-1)/Q67*(T67/100))),"")</f>
        <v/>
      </c>
      <c r="W67" s="631"/>
      <c r="X67" s="639" t="s">
        <v>239</v>
      </c>
      <c r="Y67" s="645"/>
      <c r="AA67" s="461"/>
      <c r="AB67" s="461"/>
      <c r="AC67" s="464"/>
    </row>
    <row r="68" spans="7:29" s="461" customFormat="1" ht="21.95" customHeight="1">
      <c r="G68" s="464"/>
      <c r="H68" s="470">
        <v>5</v>
      </c>
      <c r="I68" s="483" t="str">
        <f>IFERROR(VLOOKUP(5,$F$17:$T$21,4,FALSE),"")</f>
        <v/>
      </c>
      <c r="J68" s="499" t="str">
        <f>IFERROR(VLOOKUP(5,$F$17:$T$21,5,FALSE),"")</f>
        <v/>
      </c>
      <c r="K68" s="511" t="s">
        <v>332</v>
      </c>
      <c r="L68" s="511" t="str">
        <f>IFERROR(VLOOKUP(5,$F$17:$T$21,7,FALSE),"")</f>
        <v/>
      </c>
      <c r="M68" s="534"/>
      <c r="N68" s="544"/>
      <c r="O68" s="556"/>
      <c r="P68" s="560" t="s">
        <v>224</v>
      </c>
      <c r="Q68" s="499" t="str">
        <f>IFERROR(VLOOKUP(5,$F$17:$T$21,12,FALSE),"")</f>
        <v/>
      </c>
      <c r="R68" s="499" t="str">
        <f>IFERROR(VLOOKUP(1,$F$17:$T$21,7,FALSE),"")</f>
        <v/>
      </c>
      <c r="S68" s="499" t="s">
        <v>74</v>
      </c>
      <c r="T68" s="586"/>
      <c r="U68" s="601" t="s">
        <v>225</v>
      </c>
      <c r="V68" s="619" t="str">
        <f>IFERROR(IF(I68="","",INT((M68-1)/Q68*(T68/100))),"")</f>
        <v/>
      </c>
      <c r="W68" s="632"/>
      <c r="X68" s="640" t="s">
        <v>239</v>
      </c>
      <c r="Y68" s="646"/>
      <c r="AA68" s="461"/>
      <c r="AB68" s="461"/>
      <c r="AC68" s="464"/>
    </row>
    <row r="69" spans="7:29" s="461" customFormat="1" ht="21.95" customHeight="1">
      <c r="G69" s="464"/>
      <c r="H69" s="462"/>
      <c r="I69" s="463"/>
      <c r="J69" s="462"/>
      <c r="K69" s="462"/>
      <c r="L69" s="462"/>
      <c r="M69" s="462"/>
      <c r="N69" s="462"/>
      <c r="O69" s="492"/>
      <c r="P69" s="528"/>
      <c r="Q69" s="492" t="s">
        <v>331</v>
      </c>
      <c r="R69" s="528"/>
      <c r="S69" s="528"/>
      <c r="T69" s="528"/>
      <c r="U69" s="602"/>
      <c r="V69" s="617">
        <f>SUM(V64:V68)</f>
        <v>0</v>
      </c>
      <c r="W69" s="462"/>
      <c r="X69" s="462"/>
      <c r="Y69" s="462"/>
      <c r="AA69" s="461"/>
      <c r="AB69" s="461"/>
      <c r="AC69" s="464"/>
    </row>
    <row r="70" spans="7:29" s="461" customFormat="1" ht="21.95" customHeight="1">
      <c r="G70" s="464"/>
      <c r="H70" s="462"/>
      <c r="I70" s="463"/>
      <c r="J70" s="462"/>
      <c r="K70" s="462"/>
      <c r="L70" s="462"/>
      <c r="M70" s="462"/>
      <c r="N70" s="462"/>
      <c r="O70" s="492"/>
      <c r="P70" s="528"/>
      <c r="Q70" s="492"/>
      <c r="R70" s="528"/>
      <c r="S70" s="528"/>
      <c r="T70" s="528"/>
      <c r="U70" s="603"/>
      <c r="V70" s="610"/>
      <c r="W70" s="462"/>
      <c r="X70" s="462"/>
      <c r="Y70" s="462"/>
      <c r="AA70" s="461"/>
      <c r="AB70" s="461"/>
      <c r="AC70" s="464"/>
    </row>
    <row r="71" spans="7:29" s="461" customFormat="1" ht="21.95" customHeight="1">
      <c r="G71" s="461"/>
      <c r="H71" s="471" t="s">
        <v>330</v>
      </c>
      <c r="I71" s="462"/>
      <c r="J71" s="462"/>
      <c r="K71" s="462"/>
      <c r="L71" s="462"/>
      <c r="M71" s="462"/>
      <c r="N71" s="462"/>
      <c r="O71" s="462"/>
      <c r="P71" s="462"/>
      <c r="Q71" s="462"/>
      <c r="R71" s="462"/>
      <c r="S71" s="463"/>
      <c r="T71" s="462"/>
      <c r="U71" s="463"/>
      <c r="V71" s="462"/>
      <c r="W71" s="462"/>
      <c r="X71" s="462"/>
      <c r="Y71" s="462"/>
      <c r="AA71" s="461"/>
      <c r="AB71" s="461"/>
      <c r="AC71" s="464"/>
    </row>
    <row r="72" spans="7:29" s="461" customFormat="1" ht="21.95" customHeight="1">
      <c r="G72" s="461"/>
      <c r="H72" s="468"/>
      <c r="I72" s="475" t="s">
        <v>90</v>
      </c>
      <c r="J72" s="500" t="s">
        <v>322</v>
      </c>
      <c r="K72" s="512"/>
      <c r="L72" s="517"/>
      <c r="M72" s="535" t="s">
        <v>125</v>
      </c>
      <c r="N72" s="461"/>
      <c r="O72" s="464"/>
      <c r="P72" s="461"/>
      <c r="Q72" s="461"/>
      <c r="R72" s="461"/>
      <c r="S72" s="461"/>
      <c r="T72" s="461"/>
      <c r="U72" s="461"/>
      <c r="V72" s="461"/>
      <c r="W72" s="461"/>
      <c r="X72" s="461"/>
      <c r="Y72" s="461"/>
      <c r="AA72" s="461"/>
      <c r="AB72" s="461"/>
      <c r="AC72" s="464"/>
    </row>
    <row r="73" spans="7:29" s="461" customFormat="1" ht="21.95" customHeight="1">
      <c r="G73" s="461"/>
      <c r="H73" s="469">
        <v>1</v>
      </c>
      <c r="I73" s="476" t="s">
        <v>301</v>
      </c>
      <c r="J73" s="501" t="s">
        <v>250</v>
      </c>
      <c r="K73" s="513" t="s">
        <v>332</v>
      </c>
      <c r="L73" s="518">
        <v>1</v>
      </c>
      <c r="M73" s="536">
        <f>IFERROR(IF(ISBLANK(J73),"",1),"")</f>
        <v>1</v>
      </c>
      <c r="N73" s="461"/>
      <c r="O73" s="464"/>
      <c r="P73" s="461"/>
      <c r="Q73" s="461"/>
      <c r="R73" s="461"/>
      <c r="S73" s="461"/>
      <c r="T73" s="461"/>
      <c r="U73" s="461"/>
      <c r="V73" s="461"/>
      <c r="W73" s="461"/>
      <c r="X73" s="461"/>
      <c r="Y73" s="461"/>
      <c r="AA73" s="461"/>
      <c r="AB73" s="461"/>
      <c r="AC73" s="461"/>
    </row>
    <row r="74" spans="7:29" s="461" customFormat="1" ht="21.95" customHeight="1">
      <c r="G74" s="461"/>
      <c r="H74" s="469">
        <v>2</v>
      </c>
      <c r="I74" s="476" t="s">
        <v>246</v>
      </c>
      <c r="J74" s="501"/>
      <c r="K74" s="513" t="s">
        <v>332</v>
      </c>
      <c r="L74" s="518"/>
      <c r="M74" s="537"/>
      <c r="N74" s="461"/>
      <c r="O74" s="464"/>
      <c r="P74" s="461"/>
      <c r="Q74" s="461"/>
      <c r="R74" s="461"/>
      <c r="S74" s="461"/>
      <c r="T74" s="461"/>
      <c r="U74" s="461"/>
      <c r="V74" s="461"/>
      <c r="W74" s="461"/>
      <c r="X74" s="461"/>
      <c r="Y74" s="461"/>
      <c r="AA74" s="461"/>
      <c r="AB74" s="461"/>
      <c r="AC74" s="461"/>
    </row>
    <row r="75" spans="7:29" s="461" customFormat="1" ht="21.95" customHeight="1">
      <c r="G75" s="461"/>
      <c r="H75" s="469">
        <v>3</v>
      </c>
      <c r="I75" s="476" t="s">
        <v>230</v>
      </c>
      <c r="J75" s="501"/>
      <c r="K75" s="513" t="s">
        <v>332</v>
      </c>
      <c r="L75" s="518"/>
      <c r="M75" s="537"/>
      <c r="N75" s="461"/>
      <c r="O75" s="464"/>
      <c r="P75" s="461"/>
      <c r="Q75" s="461"/>
      <c r="R75" s="461"/>
      <c r="S75" s="461"/>
      <c r="T75" s="461"/>
      <c r="U75" s="461"/>
      <c r="V75" s="461"/>
      <c r="W75" s="461"/>
      <c r="X75" s="461"/>
      <c r="Y75" s="461"/>
      <c r="AA75" s="461"/>
      <c r="AB75" s="461"/>
      <c r="AC75" s="461"/>
    </row>
    <row r="76" spans="7:29" s="461" customFormat="1" ht="21.95" customHeight="1">
      <c r="G76" s="461"/>
      <c r="H76" s="469">
        <v>4</v>
      </c>
      <c r="I76" s="476"/>
      <c r="J76" s="501"/>
      <c r="K76" s="513" t="s">
        <v>332</v>
      </c>
      <c r="L76" s="518"/>
      <c r="M76" s="537"/>
      <c r="N76" s="461"/>
      <c r="O76" s="464"/>
      <c r="P76" s="461"/>
      <c r="Q76" s="461"/>
      <c r="R76" s="461"/>
      <c r="S76" s="461"/>
      <c r="T76" s="461"/>
      <c r="U76" s="461"/>
      <c r="V76" s="461"/>
      <c r="W76" s="461"/>
      <c r="X76" s="461"/>
      <c r="Y76" s="461"/>
      <c r="AA76" s="461"/>
      <c r="AB76" s="461"/>
      <c r="AC76" s="461"/>
    </row>
    <row r="77" spans="7:29" s="461" customFormat="1" ht="21.95" customHeight="1">
      <c r="G77" s="461"/>
      <c r="H77" s="470">
        <v>5</v>
      </c>
      <c r="I77" s="477"/>
      <c r="J77" s="502"/>
      <c r="K77" s="514" t="s">
        <v>332</v>
      </c>
      <c r="L77" s="519"/>
      <c r="M77" s="538"/>
      <c r="N77" s="461"/>
      <c r="O77" s="464"/>
      <c r="P77" s="461"/>
      <c r="Q77" s="461"/>
      <c r="R77" s="461"/>
      <c r="S77" s="461"/>
      <c r="T77" s="461"/>
      <c r="U77" s="461"/>
      <c r="V77" s="461"/>
      <c r="W77" s="461"/>
      <c r="X77" s="461"/>
      <c r="Y77" s="461"/>
      <c r="AA77" s="461"/>
      <c r="AB77" s="461"/>
      <c r="AC77" s="461"/>
    </row>
    <row r="78" spans="7:29" s="461" customFormat="1" ht="21.95" customHeight="1">
      <c r="G78" s="461"/>
      <c r="H78" s="462"/>
      <c r="I78" s="463"/>
      <c r="J78" s="461"/>
      <c r="K78" s="461"/>
      <c r="L78" s="461"/>
      <c r="M78" s="461"/>
      <c r="N78" s="461"/>
      <c r="O78" s="464"/>
      <c r="P78" s="461"/>
      <c r="Q78" s="461"/>
      <c r="R78" s="461"/>
      <c r="S78" s="461"/>
      <c r="T78" s="461"/>
      <c r="U78" s="461"/>
      <c r="V78" s="461"/>
      <c r="W78" s="461"/>
      <c r="X78" s="461"/>
      <c r="Y78" s="461"/>
      <c r="AA78" s="461"/>
      <c r="AB78" s="461"/>
      <c r="AC78" s="461"/>
    </row>
    <row r="79" spans="7:29" s="461" customFormat="1" ht="21.95" customHeight="1">
      <c r="G79" s="461"/>
      <c r="H79" s="462"/>
      <c r="I79" s="463"/>
      <c r="J79" s="462"/>
      <c r="K79" s="462"/>
      <c r="L79" s="462"/>
      <c r="M79" s="462"/>
      <c r="N79" s="462"/>
      <c r="O79" s="492"/>
      <c r="P79" s="528"/>
      <c r="Q79" s="492"/>
      <c r="R79" s="528"/>
      <c r="S79" s="528"/>
      <c r="T79" s="528"/>
      <c r="U79" s="603"/>
      <c r="V79" s="610"/>
      <c r="W79" s="462"/>
      <c r="X79" s="462"/>
      <c r="Y79" s="462"/>
      <c r="AA79" s="461"/>
      <c r="AB79" s="461"/>
      <c r="AC79" s="461"/>
    </row>
    <row r="80" spans="7:29" s="461" customFormat="1" ht="21.95" customHeight="1">
      <c r="G80" s="461"/>
      <c r="H80" s="462"/>
      <c r="I80" s="471" t="s">
        <v>248</v>
      </c>
      <c r="J80" s="462"/>
      <c r="K80" s="462"/>
      <c r="L80" s="462"/>
      <c r="M80" s="462"/>
      <c r="N80" s="462"/>
      <c r="O80" s="462"/>
      <c r="P80" s="462"/>
      <c r="Q80" s="462"/>
      <c r="R80" s="462"/>
      <c r="S80" s="568"/>
      <c r="T80" s="462"/>
      <c r="U80" s="463"/>
      <c r="V80" s="462"/>
      <c r="W80" s="462"/>
      <c r="X80" s="462"/>
      <c r="Y80" s="462"/>
      <c r="AA80" s="461"/>
      <c r="AB80" s="461"/>
      <c r="AC80" s="464"/>
    </row>
    <row r="81" spans="8:29" s="461" customFormat="1" ht="21.95" customHeight="1">
      <c r="H81" s="462"/>
      <c r="I81" s="463"/>
      <c r="J81" s="463"/>
      <c r="K81" s="463"/>
      <c r="L81" s="463"/>
      <c r="M81" s="463"/>
      <c r="N81" s="463"/>
      <c r="O81" s="463"/>
      <c r="P81" s="463"/>
      <c r="Q81" s="463"/>
      <c r="R81" s="462"/>
      <c r="S81" s="463"/>
      <c r="T81" s="587" t="s">
        <v>82</v>
      </c>
      <c r="U81" s="604"/>
      <c r="V81" s="620">
        <f>$M$32</f>
        <v>15384</v>
      </c>
      <c r="W81" s="611"/>
      <c r="X81" s="611"/>
      <c r="Y81" s="611"/>
      <c r="AA81" s="461"/>
      <c r="AB81" s="461"/>
      <c r="AC81" s="464"/>
    </row>
    <row r="82" spans="8:29" s="461" customFormat="1" ht="20.25" customHeight="1">
      <c r="H82" s="462"/>
      <c r="I82" s="484"/>
      <c r="J82" s="503"/>
      <c r="K82" s="503"/>
      <c r="L82" s="503"/>
      <c r="M82" s="503"/>
      <c r="N82" s="503"/>
      <c r="O82" s="463"/>
      <c r="P82" s="463"/>
      <c r="Q82" s="568"/>
      <c r="R82" s="462"/>
      <c r="S82" s="463"/>
      <c r="T82" s="588" t="s">
        <v>249</v>
      </c>
      <c r="U82" s="498"/>
      <c r="V82" s="621">
        <f>$V$42</f>
        <v>37500</v>
      </c>
      <c r="W82" s="611"/>
      <c r="X82" s="611"/>
      <c r="Y82" s="611"/>
      <c r="AA82" s="461"/>
      <c r="AB82" s="461"/>
      <c r="AC82" s="464"/>
    </row>
    <row r="83" spans="8:29" s="461" customFormat="1" ht="23.1" customHeight="1">
      <c r="H83" s="462"/>
      <c r="I83" s="484"/>
      <c r="J83" s="503"/>
      <c r="K83" s="503"/>
      <c r="L83" s="503"/>
      <c r="M83" s="503"/>
      <c r="N83" s="503"/>
      <c r="O83" s="463"/>
      <c r="P83" s="463"/>
      <c r="Q83" s="568"/>
      <c r="R83" s="462"/>
      <c r="S83" s="463"/>
      <c r="T83" s="589" t="s">
        <v>107</v>
      </c>
      <c r="U83" s="605"/>
      <c r="V83" s="622">
        <f>$V$51+$V$60+$V$69</f>
        <v>47666</v>
      </c>
      <c r="W83" s="462"/>
      <c r="X83" s="462"/>
      <c r="Y83" s="462"/>
      <c r="AA83" s="461"/>
      <c r="AB83" s="461"/>
      <c r="AC83" s="464"/>
    </row>
    <row r="84" spans="8:29" ht="23.1" customHeight="1">
      <c r="I84" s="484"/>
      <c r="J84" s="503"/>
      <c r="K84" s="503"/>
      <c r="L84" s="503"/>
      <c r="M84" s="503"/>
      <c r="N84" s="503"/>
      <c r="O84" s="463"/>
      <c r="P84" s="463"/>
      <c r="Q84" s="568"/>
      <c r="S84" s="463"/>
      <c r="T84" s="463"/>
      <c r="U84" s="463"/>
      <c r="V84" s="613">
        <f>SUM(V81:V83)</f>
        <v>100550</v>
      </c>
      <c r="W84" s="611"/>
      <c r="X84" s="611"/>
      <c r="Y84" s="611"/>
    </row>
    <row r="85" spans="8:29" ht="23.1" customHeight="1">
      <c r="I85" s="484"/>
      <c r="J85" s="484"/>
      <c r="K85" s="484"/>
      <c r="L85" s="484"/>
      <c r="M85" s="503"/>
      <c r="N85" s="503"/>
      <c r="O85" s="463"/>
      <c r="P85" s="463"/>
      <c r="Q85" s="463"/>
    </row>
    <row r="86" spans="8:29" ht="23.1" customHeight="1"/>
    <row r="87" spans="8:29" ht="20.25" customHeight="1">
      <c r="I87" s="462"/>
      <c r="J87" s="462"/>
    </row>
    <row r="88" spans="8:29" ht="20.25" customHeight="1"/>
    <row r="89" spans="8:29" ht="20.25" customHeight="1"/>
    <row r="90" spans="8:29" ht="20.25" customHeight="1"/>
    <row r="91" spans="8:29" ht="20.25" customHeight="1"/>
    <row r="92" spans="8:29" ht="20.25" customHeight="1"/>
    <row r="93" spans="8:29" ht="20.25" customHeight="1"/>
    <row r="94" spans="8:29" ht="20.25" customHeight="1"/>
    <row r="95" spans="8:29" ht="20.25" customHeight="1"/>
    <row r="96" spans="8:29" ht="20.25" customHeight="1"/>
    <row r="97" ht="20.25" customHeight="1"/>
  </sheetData>
  <mergeCells count="515">
    <mergeCell ref="H1:Y1"/>
    <mergeCell ref="H2:Y2"/>
    <mergeCell ref="O4:R4"/>
    <mergeCell ref="U4:W4"/>
    <mergeCell ref="AD5:AE5"/>
    <mergeCell ref="AF5:AG5"/>
    <mergeCell ref="AH5:AI5"/>
    <mergeCell ref="AJ5:AK5"/>
    <mergeCell ref="AL5:AM5"/>
    <mergeCell ref="AN5:AO5"/>
    <mergeCell ref="AP5:AQ5"/>
    <mergeCell ref="AR5:AS5"/>
    <mergeCell ref="AT5:AU5"/>
    <mergeCell ref="AV5:AW5"/>
    <mergeCell ref="AX5:AY5"/>
    <mergeCell ref="AD6:AE6"/>
    <mergeCell ref="AF6:AG6"/>
    <mergeCell ref="AH6:AI6"/>
    <mergeCell ref="AJ6:AK6"/>
    <mergeCell ref="AL6:AM6"/>
    <mergeCell ref="AN6:AO6"/>
    <mergeCell ref="AP6:AQ6"/>
    <mergeCell ref="AR6:AS6"/>
    <mergeCell ref="AT6:AU6"/>
    <mergeCell ref="AV6:AW6"/>
    <mergeCell ref="AX6:AY6"/>
    <mergeCell ref="J7:L7"/>
    <mergeCell ref="M7:O7"/>
    <mergeCell ref="Q7:R7"/>
    <mergeCell ref="V7:W7"/>
    <mergeCell ref="AD7:AE7"/>
    <mergeCell ref="AF7:AG7"/>
    <mergeCell ref="AH7:AI7"/>
    <mergeCell ref="AJ7:AK7"/>
    <mergeCell ref="AL7:AM7"/>
    <mergeCell ref="AN7:AO7"/>
    <mergeCell ref="AP7:AQ7"/>
    <mergeCell ref="AR7:AS7"/>
    <mergeCell ref="AT7:AU7"/>
    <mergeCell ref="AV7:AW7"/>
    <mergeCell ref="AX7:AY7"/>
    <mergeCell ref="M8:O8"/>
    <mergeCell ref="Q8:R8"/>
    <mergeCell ref="AD8:AE8"/>
    <mergeCell ref="AF8:AG8"/>
    <mergeCell ref="AH8:AI8"/>
    <mergeCell ref="AJ8:AK8"/>
    <mergeCell ref="AL8:AM8"/>
    <mergeCell ref="AN8:AO8"/>
    <mergeCell ref="AP8:AQ8"/>
    <mergeCell ref="AR8:AS8"/>
    <mergeCell ref="AT8:AU8"/>
    <mergeCell ref="AV8:AW8"/>
    <mergeCell ref="AX8:AY8"/>
    <mergeCell ref="M9:O9"/>
    <mergeCell ref="Q9:R9"/>
    <mergeCell ref="AD9:AE9"/>
    <mergeCell ref="AF9:AG9"/>
    <mergeCell ref="AH9:AI9"/>
    <mergeCell ref="AJ9:AK9"/>
    <mergeCell ref="AL9:AM9"/>
    <mergeCell ref="AN9:AO9"/>
    <mergeCell ref="AP9:AQ9"/>
    <mergeCell ref="AR9:AS9"/>
    <mergeCell ref="AT9:AU9"/>
    <mergeCell ref="AV9:AW9"/>
    <mergeCell ref="AX9:AY9"/>
    <mergeCell ref="M10:O10"/>
    <mergeCell ref="Q10:R10"/>
    <mergeCell ref="AD10:AE10"/>
    <mergeCell ref="AF10:AG10"/>
    <mergeCell ref="AH10:AI10"/>
    <mergeCell ref="AJ10:AK10"/>
    <mergeCell ref="AL10:AM10"/>
    <mergeCell ref="AN10:AO10"/>
    <mergeCell ref="AP10:AQ10"/>
    <mergeCell ref="AR10:AS10"/>
    <mergeCell ref="AT10:AU10"/>
    <mergeCell ref="AV10:AW10"/>
    <mergeCell ref="AX10:AY10"/>
    <mergeCell ref="M11:O11"/>
    <mergeCell ref="Q11:R11"/>
    <mergeCell ref="AD11:AE11"/>
    <mergeCell ref="AF11:AG11"/>
    <mergeCell ref="AH11:AI11"/>
    <mergeCell ref="AJ11:AK11"/>
    <mergeCell ref="AL11:AM11"/>
    <mergeCell ref="AN11:AO11"/>
    <mergeCell ref="AP11:AQ11"/>
    <mergeCell ref="AR11:AS11"/>
    <mergeCell ref="AT11:AU11"/>
    <mergeCell ref="AV11:AW11"/>
    <mergeCell ref="AX11:AY11"/>
    <mergeCell ref="M12:O12"/>
    <mergeCell ref="Q12:R12"/>
    <mergeCell ref="AD12:AE12"/>
    <mergeCell ref="AF12:AG12"/>
    <mergeCell ref="AH12:AI12"/>
    <mergeCell ref="AJ12:AK12"/>
    <mergeCell ref="AL12:AM12"/>
    <mergeCell ref="AN12:AO12"/>
    <mergeCell ref="AP12:AQ12"/>
    <mergeCell ref="AR12:AS12"/>
    <mergeCell ref="AT12:AU12"/>
    <mergeCell ref="AV12:AW12"/>
    <mergeCell ref="AX12:AY12"/>
    <mergeCell ref="AD13:AE13"/>
    <mergeCell ref="AF13:AG13"/>
    <mergeCell ref="AH13:AI13"/>
    <mergeCell ref="AJ13:AK13"/>
    <mergeCell ref="AL13:AM13"/>
    <mergeCell ref="AN13:AO13"/>
    <mergeCell ref="AP13:AQ13"/>
    <mergeCell ref="AR13:AS13"/>
    <mergeCell ref="AT13:AU13"/>
    <mergeCell ref="AV13:AW13"/>
    <mergeCell ref="AX13:AY13"/>
    <mergeCell ref="AD14:AE14"/>
    <mergeCell ref="AF14:AG14"/>
    <mergeCell ref="AH14:AI14"/>
    <mergeCell ref="AJ14:AK14"/>
    <mergeCell ref="AL14:AM14"/>
    <mergeCell ref="AN14:AO14"/>
    <mergeCell ref="AP14:AQ14"/>
    <mergeCell ref="AR14:AS14"/>
    <mergeCell ref="AT14:AU14"/>
    <mergeCell ref="AV14:AW14"/>
    <mergeCell ref="AX14:AY14"/>
    <mergeCell ref="AD15:AE15"/>
    <mergeCell ref="AF15:AG15"/>
    <mergeCell ref="AH15:AI15"/>
    <mergeCell ref="AJ15:AK15"/>
    <mergeCell ref="AL15:AM15"/>
    <mergeCell ref="AN15:AO15"/>
    <mergeCell ref="AP15:AQ15"/>
    <mergeCell ref="AR15:AS15"/>
    <mergeCell ref="AT15:AU15"/>
    <mergeCell ref="AV15:AW15"/>
    <mergeCell ref="AX15:AY15"/>
    <mergeCell ref="J16:L16"/>
    <mergeCell ref="M16:O16"/>
    <mergeCell ref="Q16:R16"/>
    <mergeCell ref="V16:W16"/>
    <mergeCell ref="AD16:AE16"/>
    <mergeCell ref="AF16:AG16"/>
    <mergeCell ref="AH16:AI16"/>
    <mergeCell ref="AJ16:AK16"/>
    <mergeCell ref="AL16:AM16"/>
    <mergeCell ref="AN16:AO16"/>
    <mergeCell ref="AP16:AQ16"/>
    <mergeCell ref="AR16:AS16"/>
    <mergeCell ref="AT16:AU16"/>
    <mergeCell ref="AV16:AW16"/>
    <mergeCell ref="AX16:AY16"/>
    <mergeCell ref="M17:O17"/>
    <mergeCell ref="Q17:R17"/>
    <mergeCell ref="AD17:AE17"/>
    <mergeCell ref="AF17:AG17"/>
    <mergeCell ref="AH17:AI17"/>
    <mergeCell ref="AJ17:AK17"/>
    <mergeCell ref="AL17:AM17"/>
    <mergeCell ref="AN17:AO17"/>
    <mergeCell ref="AP17:AQ17"/>
    <mergeCell ref="AR17:AS17"/>
    <mergeCell ref="AT17:AU17"/>
    <mergeCell ref="AV17:AW17"/>
    <mergeCell ref="AX17:AY17"/>
    <mergeCell ref="M18:O18"/>
    <mergeCell ref="Q18:R18"/>
    <mergeCell ref="AD18:AE18"/>
    <mergeCell ref="AF18:AG18"/>
    <mergeCell ref="AH18:AI18"/>
    <mergeCell ref="AJ18:AK18"/>
    <mergeCell ref="AL18:AM18"/>
    <mergeCell ref="AN18:AO18"/>
    <mergeCell ref="AP18:AQ18"/>
    <mergeCell ref="AR18:AS18"/>
    <mergeCell ref="AT18:AU18"/>
    <mergeCell ref="AV18:AW18"/>
    <mergeCell ref="AX18:AY18"/>
    <mergeCell ref="M19:O19"/>
    <mergeCell ref="Q19:R19"/>
    <mergeCell ref="AD19:AE19"/>
    <mergeCell ref="AF19:AG19"/>
    <mergeCell ref="AH19:AI19"/>
    <mergeCell ref="AJ19:AK19"/>
    <mergeCell ref="AL19:AM19"/>
    <mergeCell ref="AN19:AO19"/>
    <mergeCell ref="AP19:AQ19"/>
    <mergeCell ref="AR19:AS19"/>
    <mergeCell ref="AT19:AU19"/>
    <mergeCell ref="AV19:AW19"/>
    <mergeCell ref="AX19:AY19"/>
    <mergeCell ref="M20:O20"/>
    <mergeCell ref="Q20:R20"/>
    <mergeCell ref="AD20:AE20"/>
    <mergeCell ref="AF20:AG20"/>
    <mergeCell ref="AH20:AI20"/>
    <mergeCell ref="AJ20:AK20"/>
    <mergeCell ref="AL20:AM20"/>
    <mergeCell ref="AN20:AO20"/>
    <mergeCell ref="AP20:AQ20"/>
    <mergeCell ref="AR20:AS20"/>
    <mergeCell ref="AT20:AU20"/>
    <mergeCell ref="AV20:AW20"/>
    <mergeCell ref="AX20:AY20"/>
    <mergeCell ref="M21:O21"/>
    <mergeCell ref="Q21:R21"/>
    <mergeCell ref="AD21:AE21"/>
    <mergeCell ref="AF21:AG21"/>
    <mergeCell ref="AH21:AI21"/>
    <mergeCell ref="AJ21:AK21"/>
    <mergeCell ref="AL21:AM21"/>
    <mergeCell ref="AN21:AO21"/>
    <mergeCell ref="AP21:AQ21"/>
    <mergeCell ref="AR21:AS21"/>
    <mergeCell ref="AT21:AU21"/>
    <mergeCell ref="AV21:AW21"/>
    <mergeCell ref="AX21:AY21"/>
    <mergeCell ref="AD22:AE22"/>
    <mergeCell ref="AF22:AG22"/>
    <mergeCell ref="AH22:AI22"/>
    <mergeCell ref="AJ22:AK22"/>
    <mergeCell ref="AL22:AM22"/>
    <mergeCell ref="AN22:AO22"/>
    <mergeCell ref="AP22:AQ22"/>
    <mergeCell ref="AR22:AS22"/>
    <mergeCell ref="AT22:AU22"/>
    <mergeCell ref="AV22:AW22"/>
    <mergeCell ref="AX22:AY22"/>
    <mergeCell ref="AD23:AE23"/>
    <mergeCell ref="AF23:AG23"/>
    <mergeCell ref="AH23:AI23"/>
    <mergeCell ref="AJ23:AK23"/>
    <mergeCell ref="AL23:AM23"/>
    <mergeCell ref="AN23:AO23"/>
    <mergeCell ref="AP23:AQ23"/>
    <mergeCell ref="AR23:AS23"/>
    <mergeCell ref="AT23:AU23"/>
    <mergeCell ref="AV23:AW23"/>
    <mergeCell ref="AX23:AY23"/>
    <mergeCell ref="AD24:AE24"/>
    <mergeCell ref="AF24:AG24"/>
    <mergeCell ref="AH24:AI24"/>
    <mergeCell ref="AJ24:AK24"/>
    <mergeCell ref="AL24:AM24"/>
    <mergeCell ref="AN24:AO24"/>
    <mergeCell ref="AP24:AQ24"/>
    <mergeCell ref="AR24:AS24"/>
    <mergeCell ref="AT24:AU24"/>
    <mergeCell ref="AV24:AW24"/>
    <mergeCell ref="AX24:AY24"/>
    <mergeCell ref="AD25:AE25"/>
    <mergeCell ref="AF25:AG25"/>
    <mergeCell ref="AH25:AI25"/>
    <mergeCell ref="AJ25:AK25"/>
    <mergeCell ref="AL25:AM25"/>
    <mergeCell ref="AN25:AO25"/>
    <mergeCell ref="AP25:AQ25"/>
    <mergeCell ref="AR25:AS25"/>
    <mergeCell ref="AT25:AU25"/>
    <mergeCell ref="AV25:AW25"/>
    <mergeCell ref="AX25:AY25"/>
    <mergeCell ref="J26:L26"/>
    <mergeCell ref="M26:O26"/>
    <mergeCell ref="P26:S26"/>
    <mergeCell ref="AD26:AE26"/>
    <mergeCell ref="AF26:AG26"/>
    <mergeCell ref="AH26:AI26"/>
    <mergeCell ref="AJ26:AK26"/>
    <mergeCell ref="AL26:AM26"/>
    <mergeCell ref="AN26:AO26"/>
    <mergeCell ref="AP26:AQ26"/>
    <mergeCell ref="AR26:AS26"/>
    <mergeCell ref="AT26:AU26"/>
    <mergeCell ref="AV26:AW26"/>
    <mergeCell ref="AX26:AY26"/>
    <mergeCell ref="M27:O27"/>
    <mergeCell ref="P27:S27"/>
    <mergeCell ref="AD27:AE27"/>
    <mergeCell ref="AF27:AG27"/>
    <mergeCell ref="AH27:AI27"/>
    <mergeCell ref="AJ27:AK27"/>
    <mergeCell ref="AL27:AM27"/>
    <mergeCell ref="AN27:AO27"/>
    <mergeCell ref="AP27:AQ27"/>
    <mergeCell ref="AR27:AS27"/>
    <mergeCell ref="AT27:AU27"/>
    <mergeCell ref="AV27:AW27"/>
    <mergeCell ref="AX27:AY27"/>
    <mergeCell ref="M28:O28"/>
    <mergeCell ref="AD28:AE28"/>
    <mergeCell ref="AF28:AG28"/>
    <mergeCell ref="AH28:AI28"/>
    <mergeCell ref="AJ28:AK28"/>
    <mergeCell ref="AL28:AM28"/>
    <mergeCell ref="AN28:AO28"/>
    <mergeCell ref="AP28:AQ28"/>
    <mergeCell ref="AR28:AS28"/>
    <mergeCell ref="AT28:AU28"/>
    <mergeCell ref="AV28:AW28"/>
    <mergeCell ref="AX28:AY28"/>
    <mergeCell ref="M29:O29"/>
    <mergeCell ref="AD29:AE29"/>
    <mergeCell ref="AF29:AG29"/>
    <mergeCell ref="AH29:AI29"/>
    <mergeCell ref="AJ29:AK29"/>
    <mergeCell ref="AL29:AM29"/>
    <mergeCell ref="AN29:AO29"/>
    <mergeCell ref="AP29:AQ29"/>
    <mergeCell ref="AR29:AS29"/>
    <mergeCell ref="AT29:AU29"/>
    <mergeCell ref="AV29:AW29"/>
    <mergeCell ref="AX29:AY29"/>
    <mergeCell ref="M30:O30"/>
    <mergeCell ref="AD30:AE30"/>
    <mergeCell ref="AF30:AG30"/>
    <mergeCell ref="AH30:AI30"/>
    <mergeCell ref="AJ30:AK30"/>
    <mergeCell ref="AL30:AM30"/>
    <mergeCell ref="AN30:AO30"/>
    <mergeCell ref="AP30:AQ30"/>
    <mergeCell ref="AR30:AS30"/>
    <mergeCell ref="AT30:AU30"/>
    <mergeCell ref="AV30:AW30"/>
    <mergeCell ref="AX30:AY30"/>
    <mergeCell ref="M31:O31"/>
    <mergeCell ref="AD31:AE31"/>
    <mergeCell ref="AF31:AG31"/>
    <mergeCell ref="AH31:AI31"/>
    <mergeCell ref="AJ31:AK31"/>
    <mergeCell ref="AL31:AM31"/>
    <mergeCell ref="AN31:AO31"/>
    <mergeCell ref="AP31:AQ31"/>
    <mergeCell ref="AR31:AS31"/>
    <mergeCell ref="AT31:AU31"/>
    <mergeCell ref="AV31:AW31"/>
    <mergeCell ref="AX31:AY31"/>
    <mergeCell ref="H32:L32"/>
    <mergeCell ref="M32:O32"/>
    <mergeCell ref="P32:S32"/>
    <mergeCell ref="AD32:AE32"/>
    <mergeCell ref="AF32:AG32"/>
    <mergeCell ref="AH32:AI32"/>
    <mergeCell ref="AJ32:AK32"/>
    <mergeCell ref="AL32:AM32"/>
    <mergeCell ref="AN32:AO32"/>
    <mergeCell ref="AP32:AQ32"/>
    <mergeCell ref="AR32:AS32"/>
    <mergeCell ref="AT32:AU32"/>
    <mergeCell ref="AV32:AW32"/>
    <mergeCell ref="AX32:AY32"/>
    <mergeCell ref="AD33:AE33"/>
    <mergeCell ref="AF33:AG33"/>
    <mergeCell ref="AH33:AI33"/>
    <mergeCell ref="AJ33:AK33"/>
    <mergeCell ref="AL33:AM33"/>
    <mergeCell ref="AN33:AO33"/>
    <mergeCell ref="AP33:AQ33"/>
    <mergeCell ref="AR33:AS33"/>
    <mergeCell ref="AT33:AU33"/>
    <mergeCell ref="AV33:AW33"/>
    <mergeCell ref="AX33:AY33"/>
    <mergeCell ref="AD34:AE34"/>
    <mergeCell ref="AF34:AG34"/>
    <mergeCell ref="AH34:AI34"/>
    <mergeCell ref="AJ34:AK34"/>
    <mergeCell ref="AL34:AM34"/>
    <mergeCell ref="AN34:AO34"/>
    <mergeCell ref="AP34:AQ34"/>
    <mergeCell ref="AR34:AS34"/>
    <mergeCell ref="AT34:AU34"/>
    <mergeCell ref="AV34:AW34"/>
    <mergeCell ref="AX34:AY34"/>
    <mergeCell ref="AD35:AE35"/>
    <mergeCell ref="AF35:AG35"/>
    <mergeCell ref="AH35:AI35"/>
    <mergeCell ref="AJ35:AK35"/>
    <mergeCell ref="AL35:AM35"/>
    <mergeCell ref="AN35:AO35"/>
    <mergeCell ref="AP35:AQ35"/>
    <mergeCell ref="AR35:AS35"/>
    <mergeCell ref="AT35:AU35"/>
    <mergeCell ref="AV35:AW35"/>
    <mergeCell ref="AX35:AY35"/>
    <mergeCell ref="J36:L36"/>
    <mergeCell ref="M36:O36"/>
    <mergeCell ref="W36:Y36"/>
    <mergeCell ref="AD36:AE36"/>
    <mergeCell ref="AF36:AG36"/>
    <mergeCell ref="AH36:AI36"/>
    <mergeCell ref="AJ36:AK36"/>
    <mergeCell ref="AL36:AM36"/>
    <mergeCell ref="AN36:AO36"/>
    <mergeCell ref="AP36:AQ36"/>
    <mergeCell ref="AR36:AS36"/>
    <mergeCell ref="AT36:AU36"/>
    <mergeCell ref="AV36:AW36"/>
    <mergeCell ref="AX36:AY36"/>
    <mergeCell ref="M37:O37"/>
    <mergeCell ref="AD37:AE37"/>
    <mergeCell ref="AF37:AG37"/>
    <mergeCell ref="AH37:AI37"/>
    <mergeCell ref="AJ37:AK37"/>
    <mergeCell ref="AL37:AM37"/>
    <mergeCell ref="AN37:AO37"/>
    <mergeCell ref="AP37:AQ37"/>
    <mergeCell ref="AR37:AS37"/>
    <mergeCell ref="AT37:AU37"/>
    <mergeCell ref="AV37:AW37"/>
    <mergeCell ref="AX37:AY37"/>
    <mergeCell ref="M38:O38"/>
    <mergeCell ref="AD38:AE38"/>
    <mergeCell ref="AF38:AG38"/>
    <mergeCell ref="AH38:AI38"/>
    <mergeCell ref="AJ38:AK38"/>
    <mergeCell ref="AL38:AM38"/>
    <mergeCell ref="AN38:AO38"/>
    <mergeCell ref="AP38:AQ38"/>
    <mergeCell ref="AR38:AS38"/>
    <mergeCell ref="AT38:AU38"/>
    <mergeCell ref="AV38:AW38"/>
    <mergeCell ref="AX38:AY38"/>
    <mergeCell ref="M39:O39"/>
    <mergeCell ref="AD39:AE39"/>
    <mergeCell ref="AF39:AG39"/>
    <mergeCell ref="AH39:AI39"/>
    <mergeCell ref="AJ39:AK39"/>
    <mergeCell ref="AL39:AM39"/>
    <mergeCell ref="AN39:AO39"/>
    <mergeCell ref="AP39:AQ39"/>
    <mergeCell ref="AR39:AS39"/>
    <mergeCell ref="AT39:AU39"/>
    <mergeCell ref="AV39:AW39"/>
    <mergeCell ref="AX39:AY39"/>
    <mergeCell ref="M40:O40"/>
    <mergeCell ref="AD40:AE40"/>
    <mergeCell ref="AF40:AG40"/>
    <mergeCell ref="AH40:AI40"/>
    <mergeCell ref="AJ40:AK40"/>
    <mergeCell ref="AL40:AM40"/>
    <mergeCell ref="AN40:AO40"/>
    <mergeCell ref="AP40:AQ40"/>
    <mergeCell ref="AR40:AS40"/>
    <mergeCell ref="AT40:AU40"/>
    <mergeCell ref="AV40:AW40"/>
    <mergeCell ref="AX40:AY40"/>
    <mergeCell ref="M41:O41"/>
    <mergeCell ref="AD41:AE41"/>
    <mergeCell ref="AF41:AG41"/>
    <mergeCell ref="AH41:AI41"/>
    <mergeCell ref="AJ41:AK41"/>
    <mergeCell ref="AL41:AM41"/>
    <mergeCell ref="AN41:AO41"/>
    <mergeCell ref="AP41:AQ41"/>
    <mergeCell ref="AR41:AS41"/>
    <mergeCell ref="AT41:AU41"/>
    <mergeCell ref="AV41:AW41"/>
    <mergeCell ref="AX41:AY41"/>
    <mergeCell ref="Q42:T42"/>
    <mergeCell ref="AD42:AE42"/>
    <mergeCell ref="AF42:AG42"/>
    <mergeCell ref="AH42:AI42"/>
    <mergeCell ref="AJ42:AK42"/>
    <mergeCell ref="AL42:AM42"/>
    <mergeCell ref="AN42:AO42"/>
    <mergeCell ref="AP42:AQ42"/>
    <mergeCell ref="AR42:AS42"/>
    <mergeCell ref="AT42:AU42"/>
    <mergeCell ref="AV42:AW42"/>
    <mergeCell ref="AX42:AY42"/>
    <mergeCell ref="J45:L45"/>
    <mergeCell ref="Q45:R45"/>
    <mergeCell ref="W45:Y45"/>
    <mergeCell ref="Q51:T51"/>
    <mergeCell ref="J54:L54"/>
    <mergeCell ref="Q54:R54"/>
    <mergeCell ref="W54:Y54"/>
    <mergeCell ref="Q60:T60"/>
    <mergeCell ref="J63:L63"/>
    <mergeCell ref="M63:O63"/>
    <mergeCell ref="Q63:R63"/>
    <mergeCell ref="W63:Y63"/>
    <mergeCell ref="M64:O64"/>
    <mergeCell ref="Q64:R64"/>
    <mergeCell ref="M65:O65"/>
    <mergeCell ref="Q65:R65"/>
    <mergeCell ref="M66:O66"/>
    <mergeCell ref="Q66:R66"/>
    <mergeCell ref="M67:O67"/>
    <mergeCell ref="Q67:R67"/>
    <mergeCell ref="M68:O68"/>
    <mergeCell ref="Q68:R68"/>
    <mergeCell ref="Q69:T69"/>
    <mergeCell ref="J72:L72"/>
    <mergeCell ref="I81:N81"/>
    <mergeCell ref="P81:Q81"/>
    <mergeCell ref="T81:U81"/>
    <mergeCell ref="I82:N82"/>
    <mergeCell ref="P82:Q82"/>
    <mergeCell ref="T82:U82"/>
    <mergeCell ref="I83:N83"/>
    <mergeCell ref="P83:Q83"/>
    <mergeCell ref="T83:U83"/>
    <mergeCell ref="I84:N84"/>
    <mergeCell ref="P84:Q84"/>
    <mergeCell ref="S84:U84"/>
    <mergeCell ref="I85:N85"/>
    <mergeCell ref="P85:Q85"/>
    <mergeCell ref="I87:J87"/>
    <mergeCell ref="AA2:AA5"/>
    <mergeCell ref="AB2:AB5"/>
    <mergeCell ref="AC2:AC5"/>
    <mergeCell ref="V8:W12"/>
    <mergeCell ref="V17:W21"/>
  </mergeCells>
  <phoneticPr fontId="7"/>
  <conditionalFormatting sqref="T17:T21">
    <cfRule type="cellIs" dxfId="0" priority="1" stopIfTrue="1" operator="lessThan">
      <formula>100000</formula>
    </cfRule>
  </conditionalFormatting>
  <pageMargins left="0.78740157480314965" right="0.31496062992125984" top="0.31496062992125984" bottom="0.23622047244094491" header="0.19685039370078741" footer="0.19685039370078741"/>
  <pageSetup paperSize="9" scale="47" fitToWidth="0" fitToHeight="1" orientation="portrait" usePrinterDefaults="1" r:id="rId1"/>
  <headerFooter alignWithMargins="0">
    <oddFooter>&amp;R&amp;A</oddFooter>
  </headerFooter>
  <colBreaks count="3" manualBreakCount="3">
    <brk id="25" max="76" man="1"/>
    <brk id="37" max="79" man="1"/>
    <brk id="47" max="76" man="1"/>
  </colBreaks>
  <drawing r:id="rId2"/>
  <legacyDrawing r:id="rId3"/>
  <oleObjects>
    <mc:AlternateContent>
      <mc:Choice xmlns:x14="http://schemas.microsoft.com/office/spreadsheetml/2009/9/main" Requires="x14">
        <oleObject progId="Excel.Sheet.8" shapeId="24577" r:id="rId4">
          <objectPr defaultSize="0" r:id="rId5">
            <anchor moveWithCells="1" sizeWithCells="1">
              <from xmlns:xdr="http://schemas.openxmlformats.org/drawingml/2006/spreadsheetDrawing">
                <xdr:col>8</xdr:col>
                <xdr:colOff>57150</xdr:colOff>
                <xdr:row>80</xdr:row>
                <xdr:rowOff>0</xdr:rowOff>
              </from>
              <to xmlns:xdr="http://schemas.openxmlformats.org/drawingml/2006/spreadsheetDrawing">
                <xdr:col>17</xdr:col>
                <xdr:colOff>171450</xdr:colOff>
                <xdr:row>84</xdr:row>
                <xdr:rowOff>171450</xdr:rowOff>
              </to>
            </anchor>
          </objectPr>
        </oleObject>
      </mc:Choice>
      <mc:Fallback>
        <oleObject progId="Excel.Sheet.8" shapeId="24577"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dimension ref="A1:XFD128"/>
  <sheetViews>
    <sheetView showGridLines="0" view="pageBreakPreview" zoomScale="120" zoomScaleSheetLayoutView="120" workbookViewId="0">
      <selection activeCell="A9" sqref="A9:F9"/>
    </sheetView>
  </sheetViews>
  <sheetFormatPr defaultColWidth="9" defaultRowHeight="13.5"/>
  <cols>
    <col min="1" max="1" width="15" style="1" customWidth="1"/>
    <col min="2" max="2" width="14.375" style="1" customWidth="1"/>
    <col min="3" max="6" width="13.625" style="1" customWidth="1"/>
    <col min="7" max="16384" width="9" style="1"/>
  </cols>
  <sheetData>
    <row r="1" spans="1:7">
      <c r="A1" s="2" t="s">
        <v>4</v>
      </c>
      <c r="B1" s="37"/>
      <c r="C1" s="37"/>
      <c r="E1" s="86" t="s">
        <v>149</v>
      </c>
      <c r="F1" s="86"/>
      <c r="G1" s="122"/>
    </row>
    <row r="2" spans="1:7">
      <c r="A2" s="3"/>
      <c r="B2" s="3"/>
      <c r="C2" s="3"/>
      <c r="D2" s="3"/>
      <c r="E2" s="3"/>
      <c r="F2" s="3"/>
    </row>
    <row r="3" spans="1:7" ht="18.75">
      <c r="A3" s="123" t="s">
        <v>238</v>
      </c>
      <c r="B3" s="123"/>
      <c r="C3" s="5"/>
      <c r="D3" s="5"/>
      <c r="E3" s="5"/>
      <c r="F3" s="5"/>
    </row>
    <row r="4" spans="1:7">
      <c r="A4" s="5"/>
      <c r="B4" s="5"/>
      <c r="C4" s="5"/>
      <c r="D4" s="5"/>
      <c r="E4" s="5"/>
      <c r="F4" s="5"/>
    </row>
    <row r="5" spans="1:7">
      <c r="B5" s="5"/>
      <c r="C5" s="56" t="s">
        <v>151</v>
      </c>
      <c r="D5" s="56"/>
      <c r="E5" s="87" t="s">
        <v>295</v>
      </c>
      <c r="F5" s="87"/>
    </row>
    <row r="6" spans="1:7">
      <c r="B6" s="38"/>
      <c r="C6" s="56"/>
      <c r="D6" s="56" t="s">
        <v>302</v>
      </c>
      <c r="E6" s="87" t="s">
        <v>297</v>
      </c>
      <c r="F6" s="87"/>
    </row>
    <row r="7" spans="1:7">
      <c r="B7" s="38"/>
      <c r="C7" s="56"/>
      <c r="D7" s="72" t="s">
        <v>194</v>
      </c>
      <c r="E7" s="87" t="s">
        <v>104</v>
      </c>
      <c r="F7" s="87"/>
    </row>
    <row r="8" spans="1:7">
      <c r="A8" s="5"/>
      <c r="B8" s="5"/>
      <c r="C8" s="5"/>
      <c r="D8" s="5"/>
      <c r="E8" s="5"/>
      <c r="F8" s="5"/>
    </row>
    <row r="9" spans="1:7" ht="17.25">
      <c r="A9" s="6">
        <v>7</v>
      </c>
      <c r="B9" s="6"/>
      <c r="C9" s="6"/>
      <c r="D9" s="6"/>
      <c r="E9" s="6"/>
      <c r="F9" s="6"/>
    </row>
    <row r="10" spans="1:7">
      <c r="A10" s="5"/>
      <c r="B10" s="5"/>
      <c r="C10" s="5"/>
      <c r="D10" s="5"/>
      <c r="E10" s="5"/>
      <c r="F10" s="5"/>
    </row>
    <row r="11" spans="1:7">
      <c r="A11" s="5" t="s">
        <v>152</v>
      </c>
      <c r="B11" s="5"/>
      <c r="C11" s="5"/>
      <c r="D11" s="5"/>
      <c r="E11" s="5"/>
      <c r="F11" s="5"/>
    </row>
    <row r="12" spans="1:7" ht="14.25">
      <c r="A12" s="7" t="s">
        <v>108</v>
      </c>
      <c r="B12" s="7"/>
      <c r="C12" s="7"/>
      <c r="D12" s="7"/>
      <c r="E12" s="7"/>
      <c r="F12" s="7" t="s">
        <v>275</v>
      </c>
    </row>
    <row r="13" spans="1:7" ht="14.25">
      <c r="A13" s="8" t="s">
        <v>156</v>
      </c>
      <c r="B13" s="39"/>
      <c r="C13" s="57" t="s">
        <v>157</v>
      </c>
      <c r="D13" s="73"/>
      <c r="E13" s="57" t="s">
        <v>159</v>
      </c>
      <c r="F13" s="103"/>
    </row>
    <row r="14" spans="1:7" ht="22.5" customHeight="1">
      <c r="A14" s="124" t="s">
        <v>160</v>
      </c>
      <c r="B14" s="126"/>
      <c r="C14" s="58">
        <v>823409</v>
      </c>
      <c r="D14" s="74"/>
      <c r="E14" s="88"/>
      <c r="F14" s="104"/>
      <c r="G14" s="122"/>
    </row>
    <row r="15" spans="1:7" ht="22.5" customHeight="1">
      <c r="A15" s="125" t="s">
        <v>162</v>
      </c>
      <c r="B15" s="127"/>
      <c r="C15" s="59">
        <v>823410</v>
      </c>
      <c r="D15" s="75"/>
      <c r="E15" s="89"/>
      <c r="F15" s="105"/>
      <c r="G15" s="122"/>
    </row>
    <row r="16" spans="1:7" ht="19.5" customHeight="1">
      <c r="A16" s="11" t="s">
        <v>240</v>
      </c>
      <c r="B16" s="42"/>
      <c r="C16" s="60">
        <f>SUM(C14:D15)</f>
        <v>1646819</v>
      </c>
      <c r="D16" s="76"/>
      <c r="E16" s="90"/>
      <c r="F16" s="106"/>
    </row>
    <row r="17" spans="1:16384" ht="17.25" customHeight="1">
      <c r="A17" s="12"/>
      <c r="B17" s="12"/>
      <c r="C17" s="12"/>
      <c r="D17" s="12"/>
      <c r="E17" s="12"/>
      <c r="F17" s="12"/>
    </row>
    <row r="18" spans="1:16384" ht="17.25" customHeight="1">
      <c r="A18" s="61" t="s">
        <v>34</v>
      </c>
      <c r="B18" s="61"/>
      <c r="C18" s="61"/>
      <c r="D18" s="61"/>
      <c r="E18" s="61"/>
      <c r="F18" s="61" t="s">
        <v>275</v>
      </c>
    </row>
    <row r="19" spans="1:16384" ht="17.25" customHeight="1">
      <c r="A19" s="8" t="s">
        <v>120</v>
      </c>
      <c r="B19" s="39"/>
      <c r="C19" s="57" t="s">
        <v>165</v>
      </c>
      <c r="D19" s="73"/>
      <c r="E19" s="91" t="s">
        <v>166</v>
      </c>
      <c r="F19" s="107"/>
    </row>
    <row r="20" spans="1:16384" ht="22.5" customHeight="1">
      <c r="A20" s="9" t="s">
        <v>118</v>
      </c>
      <c r="B20" s="40"/>
      <c r="C20" s="62">
        <v>45000</v>
      </c>
      <c r="D20" s="77"/>
      <c r="E20" s="92"/>
      <c r="F20" s="108"/>
      <c r="XFD20" s="128">
        <f t="shared" ref="XFD20:XFD32" si="0">SUM(C20:XFC20)</f>
        <v>45000</v>
      </c>
    </row>
    <row r="21" spans="1:16384" ht="22.5" customHeight="1">
      <c r="A21" s="14" t="s">
        <v>315</v>
      </c>
      <c r="B21" s="43"/>
      <c r="C21" s="63"/>
      <c r="D21" s="78"/>
      <c r="E21" s="93"/>
      <c r="F21" s="109"/>
      <c r="G21" s="122"/>
      <c r="XFD21" s="128">
        <f t="shared" si="0"/>
        <v>0</v>
      </c>
    </row>
    <row r="22" spans="1:16384" ht="22.5" customHeight="1">
      <c r="A22" s="14" t="s">
        <v>314</v>
      </c>
      <c r="B22" s="43"/>
      <c r="C22" s="63">
        <v>154150</v>
      </c>
      <c r="D22" s="78"/>
      <c r="E22" s="94"/>
      <c r="F22" s="110"/>
      <c r="G22" s="122"/>
      <c r="XFD22" s="128">
        <f t="shared" si="0"/>
        <v>154150</v>
      </c>
    </row>
    <row r="23" spans="1:16384" ht="22.5" customHeight="1">
      <c r="A23" s="14" t="s">
        <v>168</v>
      </c>
      <c r="B23" s="43"/>
      <c r="C23" s="63">
        <v>190726</v>
      </c>
      <c r="D23" s="78"/>
      <c r="E23" s="94"/>
      <c r="F23" s="110"/>
      <c r="XFD23" s="128">
        <f t="shared" si="0"/>
        <v>190726</v>
      </c>
    </row>
    <row r="24" spans="1:16384" ht="22.5" customHeight="1">
      <c r="A24" s="14" t="s">
        <v>141</v>
      </c>
      <c r="B24" s="43"/>
      <c r="C24" s="63"/>
      <c r="D24" s="78"/>
      <c r="E24" s="94"/>
      <c r="F24" s="110"/>
      <c r="XFD24" s="128">
        <f t="shared" si="0"/>
        <v>0</v>
      </c>
    </row>
    <row r="25" spans="1:16384" ht="22.5" customHeight="1">
      <c r="A25" s="14" t="s">
        <v>303</v>
      </c>
      <c r="B25" s="43"/>
      <c r="C25" s="63">
        <v>343052</v>
      </c>
      <c r="D25" s="78"/>
      <c r="E25" s="94"/>
      <c r="F25" s="110"/>
      <c r="XFD25" s="128">
        <f t="shared" si="0"/>
        <v>343052</v>
      </c>
    </row>
    <row r="26" spans="1:16384" ht="22.5" customHeight="1">
      <c r="A26" s="14" t="s">
        <v>45</v>
      </c>
      <c r="B26" s="43"/>
      <c r="C26" s="63"/>
      <c r="D26" s="79"/>
      <c r="E26" s="94"/>
      <c r="F26" s="110"/>
      <c r="XFD26" s="128">
        <f t="shared" si="0"/>
        <v>0</v>
      </c>
    </row>
    <row r="27" spans="1:16384" ht="22.5" customHeight="1">
      <c r="A27" s="14" t="s">
        <v>304</v>
      </c>
      <c r="B27" s="43"/>
      <c r="C27" s="63"/>
      <c r="D27" s="78"/>
      <c r="E27" s="94"/>
      <c r="F27" s="110"/>
      <c r="XFD27" s="128">
        <f t="shared" si="0"/>
        <v>0</v>
      </c>
    </row>
    <row r="28" spans="1:16384" ht="22.5" customHeight="1">
      <c r="A28" s="14" t="s">
        <v>64</v>
      </c>
      <c r="B28" s="43"/>
      <c r="C28" s="63"/>
      <c r="D28" s="79"/>
      <c r="E28" s="94"/>
      <c r="F28" s="110"/>
      <c r="XFD28" s="128">
        <f t="shared" si="0"/>
        <v>0</v>
      </c>
    </row>
    <row r="29" spans="1:16384" ht="22.5" customHeight="1">
      <c r="A29" s="14" t="s">
        <v>131</v>
      </c>
      <c r="B29" s="43"/>
      <c r="C29" s="63"/>
      <c r="D29" s="79"/>
      <c r="E29" s="94"/>
      <c r="F29" s="110"/>
      <c r="XFD29" s="128">
        <f t="shared" si="0"/>
        <v>0</v>
      </c>
    </row>
    <row r="30" spans="1:16384" ht="22.5" customHeight="1">
      <c r="A30" s="14" t="s">
        <v>226</v>
      </c>
      <c r="B30" s="43"/>
      <c r="C30" s="63"/>
      <c r="D30" s="79"/>
      <c r="E30" s="94"/>
      <c r="F30" s="110"/>
      <c r="XFD30" s="128">
        <f t="shared" si="0"/>
        <v>0</v>
      </c>
    </row>
    <row r="31" spans="1:16384" ht="22.5" customHeight="1">
      <c r="A31" s="14" t="s">
        <v>288</v>
      </c>
      <c r="B31" s="43"/>
      <c r="C31" s="63"/>
      <c r="D31" s="79"/>
      <c r="E31" s="94"/>
      <c r="F31" s="110"/>
      <c r="XFD31" s="128">
        <f t="shared" si="0"/>
        <v>0</v>
      </c>
    </row>
    <row r="32" spans="1:16384" ht="22.5" customHeight="1">
      <c r="A32" s="15" t="s">
        <v>294</v>
      </c>
      <c r="B32" s="44"/>
      <c r="C32" s="64">
        <v>129864</v>
      </c>
      <c r="D32" s="80"/>
      <c r="E32" s="94"/>
      <c r="F32" s="110"/>
      <c r="XFD32" s="128">
        <f t="shared" si="0"/>
        <v>129864</v>
      </c>
    </row>
    <row r="33" spans="1:6" ht="22.5" customHeight="1">
      <c r="A33" s="16" t="s">
        <v>79</v>
      </c>
      <c r="B33" s="45"/>
      <c r="C33" s="65">
        <f>SUM(C20:D32)</f>
        <v>862792</v>
      </c>
      <c r="D33" s="81"/>
      <c r="E33" s="95"/>
      <c r="F33" s="111"/>
    </row>
    <row r="34" spans="1:6" ht="33" customHeight="1">
      <c r="A34" s="17" t="s">
        <v>283</v>
      </c>
      <c r="B34" s="45"/>
      <c r="C34" s="66">
        <f>F34+C15-C33</f>
        <v>194743</v>
      </c>
      <c r="D34" s="82"/>
      <c r="E34" s="96" t="s">
        <v>285</v>
      </c>
      <c r="F34" s="112">
        <v>234125</v>
      </c>
    </row>
    <row r="35" spans="1:6" ht="17.25" customHeight="1">
      <c r="A35" s="18"/>
      <c r="B35" s="18"/>
      <c r="C35" s="67"/>
      <c r="D35" s="83"/>
      <c r="E35" s="97"/>
      <c r="F35" s="97"/>
    </row>
    <row r="36" spans="1:6" ht="17.25" customHeight="1">
      <c r="A36" s="19" t="s">
        <v>281</v>
      </c>
      <c r="B36" s="19"/>
      <c r="C36" s="19"/>
      <c r="D36" s="12"/>
      <c r="E36" s="12"/>
      <c r="F36" s="12" t="s">
        <v>96</v>
      </c>
    </row>
    <row r="37" spans="1:6" ht="17.25" customHeight="1">
      <c r="A37" s="20" t="s">
        <v>117</v>
      </c>
      <c r="B37" s="46" t="s">
        <v>169</v>
      </c>
      <c r="C37" s="46" t="s">
        <v>116</v>
      </c>
      <c r="D37" s="84"/>
      <c r="E37" s="98" t="s">
        <v>113</v>
      </c>
      <c r="F37" s="113"/>
    </row>
    <row r="38" spans="1:6" ht="17.25" customHeight="1">
      <c r="A38" s="21"/>
      <c r="B38" s="47" t="s">
        <v>170</v>
      </c>
      <c r="C38" s="68" t="s">
        <v>170</v>
      </c>
      <c r="D38" s="47" t="s">
        <v>155</v>
      </c>
      <c r="E38" s="68" t="s">
        <v>170</v>
      </c>
      <c r="F38" s="114" t="s">
        <v>171</v>
      </c>
    </row>
    <row r="39" spans="1:6" ht="15" customHeight="1">
      <c r="A39" s="22"/>
      <c r="B39" s="48" t="s">
        <v>279</v>
      </c>
      <c r="C39" s="69" t="s">
        <v>305</v>
      </c>
      <c r="D39" s="85" t="s">
        <v>296</v>
      </c>
      <c r="E39" s="48" t="s">
        <v>306</v>
      </c>
      <c r="F39" s="115" t="s">
        <v>307</v>
      </c>
    </row>
    <row r="40" spans="1:6" ht="15" customHeight="1">
      <c r="A40" s="23" t="s">
        <v>104</v>
      </c>
      <c r="B40" s="49">
        <v>6456</v>
      </c>
      <c r="C40" s="70">
        <v>40615</v>
      </c>
      <c r="D40" s="50">
        <v>39905</v>
      </c>
      <c r="E40" s="99">
        <f t="shared" ref="E40:E76" si="1">IF(B40+C40=0,"",B40+C40)</f>
        <v>47071</v>
      </c>
      <c r="F40" s="116">
        <f t="shared" ref="F40:F76" si="2">IF(D40="","",D40)</f>
        <v>39905</v>
      </c>
    </row>
    <row r="41" spans="1:6" ht="15" customHeight="1">
      <c r="A41" s="23" t="s">
        <v>256</v>
      </c>
      <c r="B41" s="49">
        <v>39060</v>
      </c>
      <c r="C41" s="70">
        <v>60924</v>
      </c>
      <c r="D41" s="50">
        <v>56632</v>
      </c>
      <c r="E41" s="99">
        <f t="shared" si="1"/>
        <v>99984</v>
      </c>
      <c r="F41" s="116">
        <f t="shared" si="2"/>
        <v>56632</v>
      </c>
    </row>
    <row r="42" spans="1:6" ht="15" customHeight="1">
      <c r="A42" s="23" t="s">
        <v>77</v>
      </c>
      <c r="B42" s="49">
        <v>11648</v>
      </c>
      <c r="C42" s="70">
        <v>26327</v>
      </c>
      <c r="D42" s="50">
        <v>25047</v>
      </c>
      <c r="E42" s="99">
        <f t="shared" si="1"/>
        <v>37975</v>
      </c>
      <c r="F42" s="116">
        <f t="shared" si="2"/>
        <v>25047</v>
      </c>
    </row>
    <row r="43" spans="1:6" ht="15" customHeight="1">
      <c r="A43" s="23" t="s">
        <v>29</v>
      </c>
      <c r="B43" s="49">
        <v>102388</v>
      </c>
      <c r="C43" s="70">
        <v>110698</v>
      </c>
      <c r="D43" s="50">
        <v>99447</v>
      </c>
      <c r="E43" s="99">
        <f t="shared" si="1"/>
        <v>213086</v>
      </c>
      <c r="F43" s="116">
        <f t="shared" si="2"/>
        <v>99447</v>
      </c>
    </row>
    <row r="44" spans="1:6" ht="15" customHeight="1">
      <c r="A44" s="23" t="s">
        <v>126</v>
      </c>
      <c r="B44" s="49">
        <v>23144</v>
      </c>
      <c r="C44" s="70">
        <v>58546</v>
      </c>
      <c r="D44" s="50">
        <v>56003</v>
      </c>
      <c r="E44" s="99">
        <f t="shared" si="1"/>
        <v>81690</v>
      </c>
      <c r="F44" s="116">
        <f t="shared" si="2"/>
        <v>56003</v>
      </c>
    </row>
    <row r="45" spans="1:6" ht="15" customHeight="1">
      <c r="A45" s="23" t="s">
        <v>286</v>
      </c>
      <c r="B45" s="49">
        <v>4447</v>
      </c>
      <c r="C45" s="70">
        <v>3179</v>
      </c>
      <c r="D45" s="50">
        <v>2691</v>
      </c>
      <c r="E45" s="99">
        <f t="shared" si="1"/>
        <v>7626</v>
      </c>
      <c r="F45" s="116">
        <f t="shared" si="2"/>
        <v>2691</v>
      </c>
    </row>
    <row r="46" spans="1:6" ht="15" customHeight="1">
      <c r="A46" s="24" t="s">
        <v>139</v>
      </c>
      <c r="B46" s="50">
        <v>3252</v>
      </c>
      <c r="C46" s="71">
        <v>2325</v>
      </c>
      <c r="D46" s="50">
        <v>1967</v>
      </c>
      <c r="E46" s="100">
        <f t="shared" si="1"/>
        <v>5577</v>
      </c>
      <c r="F46" s="117">
        <f t="shared" si="2"/>
        <v>1967</v>
      </c>
    </row>
    <row r="47" spans="1:6" ht="15" customHeight="1">
      <c r="A47" s="23" t="s">
        <v>287</v>
      </c>
      <c r="B47" s="49">
        <v>17546</v>
      </c>
      <c r="C47" s="70">
        <v>12544</v>
      </c>
      <c r="D47" s="49">
        <v>10616</v>
      </c>
      <c r="E47" s="99">
        <f t="shared" si="1"/>
        <v>30090</v>
      </c>
      <c r="F47" s="116">
        <f t="shared" si="2"/>
        <v>10616</v>
      </c>
    </row>
    <row r="48" spans="1:6" ht="15" customHeight="1">
      <c r="A48" s="23" t="s">
        <v>289</v>
      </c>
      <c r="B48" s="49">
        <v>40424</v>
      </c>
      <c r="C48" s="70">
        <v>31899</v>
      </c>
      <c r="D48" s="50">
        <v>27457</v>
      </c>
      <c r="E48" s="99">
        <f t="shared" si="1"/>
        <v>72323</v>
      </c>
      <c r="F48" s="116">
        <f t="shared" si="2"/>
        <v>27457</v>
      </c>
    </row>
    <row r="49" spans="1:6" ht="15" customHeight="1">
      <c r="A49" s="23" t="s">
        <v>291</v>
      </c>
      <c r="B49" s="49">
        <v>41556</v>
      </c>
      <c r="C49" s="70">
        <v>35709</v>
      </c>
      <c r="D49" s="50">
        <v>31142</v>
      </c>
      <c r="E49" s="99">
        <f t="shared" si="1"/>
        <v>77265</v>
      </c>
      <c r="F49" s="116">
        <f t="shared" si="2"/>
        <v>31142</v>
      </c>
    </row>
    <row r="50" spans="1:6" ht="15" customHeight="1">
      <c r="A50" s="23" t="s">
        <v>292</v>
      </c>
      <c r="B50" s="49">
        <v>111493</v>
      </c>
      <c r="C50" s="70">
        <v>84847</v>
      </c>
      <c r="D50" s="50">
        <v>80507</v>
      </c>
      <c r="E50" s="99">
        <f t="shared" si="1"/>
        <v>196340</v>
      </c>
      <c r="F50" s="116">
        <f t="shared" si="2"/>
        <v>80507</v>
      </c>
    </row>
    <row r="51" spans="1:6" ht="15" customHeight="1">
      <c r="A51" s="24" t="s">
        <v>67</v>
      </c>
      <c r="B51" s="50">
        <v>231995</v>
      </c>
      <c r="C51" s="71">
        <v>165797</v>
      </c>
      <c r="D51" s="50">
        <v>231513</v>
      </c>
      <c r="E51" s="100">
        <f t="shared" si="1"/>
        <v>397792</v>
      </c>
      <c r="F51" s="117">
        <f t="shared" si="2"/>
        <v>231513</v>
      </c>
    </row>
    <row r="52" spans="1:6" ht="15" customHeight="1">
      <c r="A52" s="23" t="s">
        <v>181</v>
      </c>
      <c r="B52" s="49">
        <v>98125</v>
      </c>
      <c r="C52" s="70">
        <v>73198</v>
      </c>
      <c r="D52" s="49">
        <v>78276</v>
      </c>
      <c r="E52" s="101">
        <f t="shared" si="1"/>
        <v>171323</v>
      </c>
      <c r="F52" s="116">
        <f t="shared" si="2"/>
        <v>78276</v>
      </c>
    </row>
    <row r="53" spans="1:6" ht="15" customHeight="1">
      <c r="A53" s="23" t="s">
        <v>251</v>
      </c>
      <c r="B53" s="49">
        <v>91875</v>
      </c>
      <c r="C53" s="70">
        <v>116802</v>
      </c>
      <c r="D53" s="50">
        <v>121589</v>
      </c>
      <c r="E53" s="101">
        <f t="shared" si="1"/>
        <v>208677</v>
      </c>
      <c r="F53" s="116">
        <f t="shared" si="2"/>
        <v>121589</v>
      </c>
    </row>
    <row r="54" spans="1:6" ht="15" customHeight="1">
      <c r="A54" s="23"/>
      <c r="B54" s="49"/>
      <c r="C54" s="70"/>
      <c r="D54" s="50"/>
      <c r="E54" s="101" t="str">
        <f t="shared" si="1"/>
        <v/>
      </c>
      <c r="F54" s="116" t="str">
        <f t="shared" si="2"/>
        <v/>
      </c>
    </row>
    <row r="55" spans="1:6" ht="15" customHeight="1">
      <c r="A55" s="23"/>
      <c r="B55" s="49"/>
      <c r="C55" s="70"/>
      <c r="D55" s="50"/>
      <c r="E55" s="101" t="str">
        <f t="shared" si="1"/>
        <v/>
      </c>
      <c r="F55" s="116" t="str">
        <f t="shared" si="2"/>
        <v/>
      </c>
    </row>
    <row r="56" spans="1:6" ht="15" customHeight="1">
      <c r="A56" s="23"/>
      <c r="B56" s="49"/>
      <c r="C56" s="70"/>
      <c r="D56" s="50"/>
      <c r="E56" s="101" t="str">
        <f t="shared" si="1"/>
        <v/>
      </c>
      <c r="F56" s="116" t="str">
        <f t="shared" si="2"/>
        <v/>
      </c>
    </row>
    <row r="57" spans="1:6" ht="15" customHeight="1">
      <c r="A57" s="23"/>
      <c r="B57" s="49"/>
      <c r="C57" s="70"/>
      <c r="D57" s="50"/>
      <c r="E57" s="101" t="str">
        <f t="shared" si="1"/>
        <v/>
      </c>
      <c r="F57" s="116" t="str">
        <f t="shared" si="2"/>
        <v/>
      </c>
    </row>
    <row r="58" spans="1:6" ht="15" customHeight="1">
      <c r="A58" s="23"/>
      <c r="B58" s="49"/>
      <c r="C58" s="70"/>
      <c r="D58" s="50"/>
      <c r="E58" s="101" t="str">
        <f t="shared" si="1"/>
        <v/>
      </c>
      <c r="F58" s="116" t="str">
        <f t="shared" si="2"/>
        <v/>
      </c>
    </row>
    <row r="59" spans="1:6" ht="15" customHeight="1">
      <c r="A59" s="23"/>
      <c r="B59" s="49"/>
      <c r="C59" s="70"/>
      <c r="D59" s="50"/>
      <c r="E59" s="101" t="str">
        <f t="shared" si="1"/>
        <v/>
      </c>
      <c r="F59" s="116" t="str">
        <f t="shared" si="2"/>
        <v/>
      </c>
    </row>
    <row r="60" spans="1:6" ht="15" customHeight="1">
      <c r="A60" s="23"/>
      <c r="B60" s="49"/>
      <c r="C60" s="70"/>
      <c r="D60" s="50"/>
      <c r="E60" s="101" t="str">
        <f t="shared" si="1"/>
        <v/>
      </c>
      <c r="F60" s="116" t="str">
        <f t="shared" si="2"/>
        <v/>
      </c>
    </row>
    <row r="61" spans="1:6" ht="15" customHeight="1">
      <c r="A61" s="23"/>
      <c r="B61" s="49"/>
      <c r="C61" s="70"/>
      <c r="D61" s="50"/>
      <c r="E61" s="101" t="str">
        <f t="shared" si="1"/>
        <v/>
      </c>
      <c r="F61" s="116" t="str">
        <f t="shared" si="2"/>
        <v/>
      </c>
    </row>
    <row r="62" spans="1:6" ht="15" customHeight="1">
      <c r="A62" s="23"/>
      <c r="B62" s="49"/>
      <c r="C62" s="70"/>
      <c r="D62" s="50"/>
      <c r="E62" s="101" t="str">
        <f t="shared" si="1"/>
        <v/>
      </c>
      <c r="F62" s="116" t="str">
        <f t="shared" si="2"/>
        <v/>
      </c>
    </row>
    <row r="63" spans="1:6" ht="15" customHeight="1">
      <c r="A63" s="23"/>
      <c r="B63" s="49"/>
      <c r="C63" s="70"/>
      <c r="D63" s="50"/>
      <c r="E63" s="101" t="str">
        <f t="shared" si="1"/>
        <v/>
      </c>
      <c r="F63" s="116" t="str">
        <f t="shared" si="2"/>
        <v/>
      </c>
    </row>
    <row r="64" spans="1:6" ht="15" customHeight="1">
      <c r="A64" s="23"/>
      <c r="B64" s="49"/>
      <c r="C64" s="70"/>
      <c r="D64" s="50"/>
      <c r="E64" s="101" t="str">
        <f t="shared" si="1"/>
        <v/>
      </c>
      <c r="F64" s="116" t="str">
        <f t="shared" si="2"/>
        <v/>
      </c>
    </row>
    <row r="65" spans="1:6" ht="15" customHeight="1">
      <c r="A65" s="23"/>
      <c r="B65" s="49"/>
      <c r="C65" s="70"/>
      <c r="D65" s="50"/>
      <c r="E65" s="101" t="str">
        <f t="shared" si="1"/>
        <v/>
      </c>
      <c r="F65" s="116" t="str">
        <f t="shared" si="2"/>
        <v/>
      </c>
    </row>
    <row r="66" spans="1:6" ht="15" customHeight="1">
      <c r="A66" s="23"/>
      <c r="B66" s="49"/>
      <c r="C66" s="70"/>
      <c r="D66" s="50"/>
      <c r="E66" s="101" t="str">
        <f t="shared" si="1"/>
        <v/>
      </c>
      <c r="F66" s="116" t="str">
        <f t="shared" si="2"/>
        <v/>
      </c>
    </row>
    <row r="67" spans="1:6" ht="15" customHeight="1">
      <c r="A67" s="23"/>
      <c r="B67" s="49"/>
      <c r="C67" s="70"/>
      <c r="D67" s="50"/>
      <c r="E67" s="101" t="str">
        <f t="shared" si="1"/>
        <v/>
      </c>
      <c r="F67" s="116" t="str">
        <f t="shared" si="2"/>
        <v/>
      </c>
    </row>
    <row r="68" spans="1:6" ht="15" customHeight="1">
      <c r="A68" s="23"/>
      <c r="B68" s="49"/>
      <c r="C68" s="70"/>
      <c r="D68" s="50"/>
      <c r="E68" s="101" t="str">
        <f t="shared" si="1"/>
        <v/>
      </c>
      <c r="F68" s="116" t="str">
        <f t="shared" si="2"/>
        <v/>
      </c>
    </row>
    <row r="69" spans="1:6" ht="15" customHeight="1">
      <c r="A69" s="23"/>
      <c r="B69" s="49"/>
      <c r="C69" s="70"/>
      <c r="D69" s="50"/>
      <c r="E69" s="101" t="str">
        <f t="shared" si="1"/>
        <v/>
      </c>
      <c r="F69" s="116" t="str">
        <f t="shared" si="2"/>
        <v/>
      </c>
    </row>
    <row r="70" spans="1:6" ht="15" customHeight="1">
      <c r="A70" s="23"/>
      <c r="B70" s="49"/>
      <c r="C70" s="70"/>
      <c r="D70" s="50"/>
      <c r="E70" s="101" t="str">
        <f t="shared" si="1"/>
        <v/>
      </c>
      <c r="F70" s="116" t="str">
        <f t="shared" si="2"/>
        <v/>
      </c>
    </row>
    <row r="71" spans="1:6" ht="15" customHeight="1">
      <c r="A71" s="23"/>
      <c r="B71" s="49"/>
      <c r="C71" s="70"/>
      <c r="D71" s="50"/>
      <c r="E71" s="101" t="str">
        <f t="shared" si="1"/>
        <v/>
      </c>
      <c r="F71" s="116" t="str">
        <f t="shared" si="2"/>
        <v/>
      </c>
    </row>
    <row r="72" spans="1:6" ht="15" customHeight="1">
      <c r="A72" s="23"/>
      <c r="B72" s="49"/>
      <c r="C72" s="70"/>
      <c r="D72" s="50"/>
      <c r="E72" s="101" t="str">
        <f t="shared" si="1"/>
        <v/>
      </c>
      <c r="F72" s="116" t="str">
        <f t="shared" si="2"/>
        <v/>
      </c>
    </row>
    <row r="73" spans="1:6" ht="15" customHeight="1">
      <c r="A73" s="23"/>
      <c r="B73" s="49"/>
      <c r="C73" s="70"/>
      <c r="D73" s="50"/>
      <c r="E73" s="101" t="str">
        <f t="shared" si="1"/>
        <v/>
      </c>
      <c r="F73" s="116" t="str">
        <f t="shared" si="2"/>
        <v/>
      </c>
    </row>
    <row r="74" spans="1:6" ht="15" customHeight="1">
      <c r="A74" s="23"/>
      <c r="B74" s="49"/>
      <c r="C74" s="70"/>
      <c r="D74" s="50"/>
      <c r="E74" s="101" t="str">
        <f t="shared" si="1"/>
        <v/>
      </c>
      <c r="F74" s="116" t="str">
        <f t="shared" si="2"/>
        <v/>
      </c>
    </row>
    <row r="75" spans="1:6" ht="15" customHeight="1">
      <c r="A75" s="23"/>
      <c r="B75" s="49"/>
      <c r="C75" s="70"/>
      <c r="D75" s="50"/>
      <c r="E75" s="101" t="str">
        <f t="shared" si="1"/>
        <v/>
      </c>
      <c r="F75" s="116" t="str">
        <f t="shared" si="2"/>
        <v/>
      </c>
    </row>
    <row r="76" spans="1:6" ht="15" customHeight="1">
      <c r="A76" s="23"/>
      <c r="B76" s="49"/>
      <c r="C76" s="70"/>
      <c r="D76" s="50"/>
      <c r="E76" s="101" t="str">
        <f t="shared" si="1"/>
        <v/>
      </c>
      <c r="F76" s="116" t="str">
        <f t="shared" si="2"/>
        <v/>
      </c>
    </row>
    <row r="77" spans="1:6" ht="15" customHeight="1">
      <c r="A77" s="25">
        <f>COUNTA(A47:A76,A40:A46)</f>
        <v>14</v>
      </c>
      <c r="B77" s="51">
        <f>IF(SUM(B40:B46,B47:B76)=0,"",SUM(B40:B46,B47:B76))</f>
        <v>823409</v>
      </c>
      <c r="C77" s="51">
        <f>IF(SUM(C40:C46,C47:C76)=0,"",SUM(C40:C46,C47:C76))</f>
        <v>823410</v>
      </c>
      <c r="D77" s="51">
        <f>IF(SUM(D40:D46,D47:D76)=0,"",SUM(D40:D46,D47:D76))</f>
        <v>862792</v>
      </c>
      <c r="E77" s="51">
        <f>IF(SUM(E40:E46,E47:E76)=0,"",SUM(E40:E46,E47:E76))</f>
        <v>1646819</v>
      </c>
      <c r="F77" s="118">
        <f>IF(SUM(F40:F46,F47:F76)=0,"",SUM(F40:F46,F47:F76))</f>
        <v>862792</v>
      </c>
    </row>
    <row r="78" spans="1:6" ht="14.25" customHeight="1">
      <c r="A78" s="26"/>
      <c r="B78" s="52"/>
      <c r="C78" s="52"/>
      <c r="D78" s="52"/>
      <c r="E78" s="52"/>
      <c r="F78" s="52"/>
    </row>
    <row r="79" spans="1:6" ht="14.25" customHeight="1">
      <c r="A79" s="27"/>
      <c r="B79" s="53"/>
      <c r="C79" s="53"/>
      <c r="D79" s="53"/>
      <c r="E79" s="27"/>
      <c r="F79" s="119"/>
    </row>
    <row r="80" spans="1:6" ht="14.25" customHeight="1">
      <c r="A80" s="29" t="s">
        <v>130</v>
      </c>
      <c r="B80" s="29"/>
      <c r="C80" s="29"/>
      <c r="D80" s="29"/>
      <c r="E80" s="29"/>
      <c r="F80" s="29"/>
    </row>
    <row r="81" spans="1:6" ht="14.25" customHeight="1">
      <c r="A81" s="29"/>
      <c r="B81" s="31"/>
      <c r="C81" s="31"/>
      <c r="D81" s="31"/>
      <c r="E81" s="29"/>
      <c r="F81" s="120"/>
    </row>
    <row r="82" spans="1:6" ht="14.25" customHeight="1">
      <c r="A82" s="30" t="s">
        <v>148</v>
      </c>
      <c r="B82" s="30"/>
      <c r="C82" s="30"/>
      <c r="D82" s="30"/>
      <c r="E82" s="30"/>
      <c r="F82" s="30"/>
    </row>
    <row r="83" spans="1:6" ht="14.25" customHeight="1">
      <c r="A83" s="30"/>
      <c r="B83" s="30"/>
      <c r="C83" s="30"/>
      <c r="D83" s="30"/>
      <c r="E83" s="30"/>
      <c r="F83" s="30"/>
    </row>
    <row r="84" spans="1:6" ht="14.25" customHeight="1">
      <c r="A84" s="31"/>
      <c r="B84" s="31"/>
      <c r="C84" s="31"/>
      <c r="D84" s="31"/>
      <c r="E84" s="29"/>
      <c r="F84" s="120"/>
    </row>
    <row r="85" spans="1:6" ht="14.25" customHeight="1">
      <c r="A85" s="32" t="s">
        <v>128</v>
      </c>
      <c r="B85" s="32"/>
      <c r="D85" s="31"/>
      <c r="E85" s="29"/>
      <c r="F85" s="120"/>
    </row>
    <row r="86" spans="1:6" ht="14.25" customHeight="1">
      <c r="A86" s="31"/>
      <c r="B86" s="31"/>
      <c r="C86" s="102" t="s">
        <v>83</v>
      </c>
      <c r="E86" s="102"/>
      <c r="F86" s="121"/>
    </row>
    <row r="87" spans="1:6" ht="14.25" customHeight="1">
      <c r="A87" s="33"/>
      <c r="B87" s="54"/>
      <c r="C87" s="54"/>
      <c r="D87" s="54"/>
      <c r="E87" s="54"/>
      <c r="F87" s="54"/>
    </row>
    <row r="88" spans="1:6">
      <c r="A88" s="34" t="s">
        <v>254</v>
      </c>
      <c r="B88" s="34"/>
      <c r="C88" s="34"/>
      <c r="D88" s="34"/>
      <c r="E88" s="34"/>
      <c r="F88" s="34"/>
    </row>
    <row r="89" spans="1:6">
      <c r="A89" s="34" t="s">
        <v>324</v>
      </c>
      <c r="B89" s="34"/>
      <c r="C89" s="34"/>
      <c r="D89" s="34"/>
      <c r="E89" s="34"/>
      <c r="F89" s="34"/>
    </row>
    <row r="90" spans="1:6">
      <c r="A90" s="34" t="s">
        <v>282</v>
      </c>
      <c r="B90" s="34"/>
      <c r="C90" s="34"/>
      <c r="D90" s="34"/>
      <c r="E90" s="34"/>
      <c r="F90" s="34"/>
    </row>
    <row r="91" spans="1:6">
      <c r="A91" s="35"/>
    </row>
    <row r="92" spans="1:6">
      <c r="B92" s="55"/>
      <c r="C92" s="55"/>
      <c r="D92" s="55"/>
      <c r="E92" s="55"/>
      <c r="F92" s="55"/>
    </row>
    <row r="93" spans="1:6">
      <c r="B93" s="55"/>
      <c r="C93" s="55"/>
      <c r="D93" s="55"/>
      <c r="E93" s="55"/>
      <c r="F93" s="55"/>
    </row>
    <row r="94" spans="1:6">
      <c r="A94" s="36"/>
      <c r="B94" s="36"/>
      <c r="C94" s="36"/>
      <c r="D94" s="36"/>
      <c r="E94" s="36"/>
      <c r="F94" s="36"/>
    </row>
    <row r="95" spans="1:6">
      <c r="A95" s="36"/>
      <c r="B95" s="36"/>
      <c r="C95" s="36"/>
      <c r="D95" s="36"/>
      <c r="E95" s="36"/>
      <c r="F95" s="36"/>
    </row>
    <row r="96" spans="1:6">
      <c r="A96" s="36"/>
      <c r="B96" s="36"/>
      <c r="C96" s="36"/>
      <c r="D96" s="36"/>
      <c r="E96" s="36"/>
      <c r="F96" s="36"/>
    </row>
    <row r="97" spans="1:6">
      <c r="A97" s="36"/>
      <c r="B97" s="36"/>
      <c r="C97" s="36"/>
      <c r="D97" s="36"/>
      <c r="E97" s="36"/>
      <c r="F97" s="36"/>
    </row>
    <row r="98" spans="1:6">
      <c r="A98" s="36"/>
      <c r="B98" s="36"/>
      <c r="C98" s="36"/>
      <c r="D98" s="36"/>
      <c r="E98" s="36"/>
      <c r="F98" s="36"/>
    </row>
    <row r="99" spans="1:6">
      <c r="A99" s="36"/>
      <c r="B99" s="36"/>
      <c r="C99" s="36"/>
      <c r="D99" s="36"/>
      <c r="E99" s="36"/>
      <c r="F99" s="36"/>
    </row>
    <row r="100" spans="1:6">
      <c r="A100" s="36"/>
      <c r="B100" s="36"/>
      <c r="C100" s="36"/>
      <c r="D100" s="36"/>
      <c r="E100" s="36"/>
      <c r="F100" s="36"/>
    </row>
    <row r="101" spans="1:6">
      <c r="A101" s="36"/>
      <c r="B101" s="36"/>
      <c r="C101" s="36"/>
      <c r="D101" s="36"/>
      <c r="E101" s="36"/>
      <c r="F101" s="36"/>
    </row>
    <row r="102" spans="1:6">
      <c r="A102" s="36"/>
      <c r="B102" s="36"/>
      <c r="C102" s="36"/>
      <c r="D102" s="36"/>
      <c r="E102" s="36"/>
      <c r="F102" s="36"/>
    </row>
    <row r="103" spans="1:6">
      <c r="A103" s="36"/>
      <c r="B103" s="36"/>
      <c r="C103" s="36"/>
      <c r="D103" s="36"/>
      <c r="E103" s="36"/>
      <c r="F103" s="36"/>
    </row>
    <row r="104" spans="1:6">
      <c r="A104" s="36"/>
      <c r="B104" s="36"/>
      <c r="C104" s="36"/>
      <c r="D104" s="36"/>
      <c r="E104" s="36"/>
      <c r="F104" s="36"/>
    </row>
    <row r="105" spans="1:6">
      <c r="A105" s="36"/>
      <c r="B105" s="36"/>
      <c r="C105" s="36"/>
      <c r="D105" s="36"/>
      <c r="E105" s="36"/>
      <c r="F105" s="36"/>
    </row>
    <row r="106" spans="1:6" ht="14.25" customHeight="1">
      <c r="A106" s="36"/>
      <c r="B106" s="36"/>
      <c r="C106" s="36"/>
      <c r="D106" s="36"/>
      <c r="E106" s="36"/>
      <c r="F106" s="36"/>
    </row>
    <row r="107" spans="1:6" ht="14.25" customHeight="1">
      <c r="A107" s="36"/>
      <c r="B107" s="36"/>
      <c r="C107" s="36"/>
      <c r="D107" s="36"/>
      <c r="E107" s="36"/>
      <c r="F107" s="36"/>
    </row>
    <row r="108" spans="1:6" ht="14.25" customHeight="1">
      <c r="A108" s="36"/>
      <c r="B108" s="36"/>
      <c r="C108" s="36"/>
      <c r="D108" s="36"/>
      <c r="E108" s="36"/>
      <c r="F108" s="36"/>
    </row>
    <row r="109" spans="1:6" ht="14.25" customHeight="1">
      <c r="A109" s="36"/>
      <c r="B109" s="36"/>
      <c r="C109" s="36"/>
      <c r="D109" s="36"/>
      <c r="E109" s="36"/>
      <c r="F109" s="36"/>
    </row>
    <row r="110" spans="1:6" ht="14.25" customHeight="1">
      <c r="A110" s="36"/>
      <c r="B110" s="36"/>
      <c r="C110" s="36"/>
      <c r="D110" s="36"/>
      <c r="E110" s="36"/>
      <c r="F110" s="36"/>
    </row>
    <row r="111" spans="1:6" ht="14.25" customHeight="1">
      <c r="A111" s="36"/>
      <c r="B111" s="36"/>
      <c r="C111" s="36"/>
      <c r="D111" s="36"/>
      <c r="E111" s="36"/>
      <c r="F111" s="36"/>
    </row>
    <row r="112" spans="1:6" ht="14.25" customHeight="1">
      <c r="A112" s="36"/>
      <c r="B112" s="36"/>
      <c r="C112" s="36"/>
      <c r="D112" s="36"/>
      <c r="E112" s="36"/>
      <c r="F112" s="36"/>
    </row>
    <row r="113" spans="1:6" ht="14.25" customHeight="1">
      <c r="A113" s="36"/>
      <c r="B113" s="36"/>
      <c r="C113" s="36"/>
      <c r="D113" s="36"/>
      <c r="E113" s="36"/>
      <c r="F113" s="36"/>
    </row>
    <row r="114" spans="1:6" ht="14.25" customHeight="1">
      <c r="A114" s="36"/>
      <c r="B114" s="36"/>
      <c r="C114" s="36"/>
      <c r="D114" s="36"/>
      <c r="E114" s="36"/>
      <c r="F114" s="36"/>
    </row>
    <row r="115" spans="1:6" ht="14.25" customHeight="1">
      <c r="A115" s="36"/>
      <c r="B115" s="36"/>
      <c r="C115" s="36"/>
      <c r="D115" s="36"/>
      <c r="E115" s="36"/>
      <c r="F115" s="36"/>
    </row>
    <row r="116" spans="1:6" ht="14.25" customHeight="1">
      <c r="A116" s="36"/>
      <c r="B116" s="36"/>
      <c r="C116" s="36"/>
      <c r="D116" s="36"/>
      <c r="E116" s="36"/>
      <c r="F116" s="36"/>
    </row>
    <row r="117" spans="1:6">
      <c r="A117" s="36"/>
      <c r="B117" s="36"/>
      <c r="C117" s="36"/>
      <c r="D117" s="36"/>
      <c r="E117" s="36"/>
      <c r="F117" s="36"/>
    </row>
    <row r="118" spans="1:6">
      <c r="A118" s="36"/>
      <c r="B118" s="36"/>
      <c r="C118" s="36"/>
      <c r="D118" s="36"/>
      <c r="E118" s="36"/>
      <c r="F118" s="36"/>
    </row>
    <row r="119" spans="1:6">
      <c r="A119" s="36"/>
      <c r="B119" s="36"/>
      <c r="C119" s="36"/>
      <c r="D119" s="36"/>
      <c r="E119" s="36"/>
      <c r="F119" s="36"/>
    </row>
    <row r="120" spans="1:6">
      <c r="A120" s="36"/>
      <c r="B120" s="36"/>
      <c r="C120" s="36"/>
      <c r="D120" s="36"/>
      <c r="E120" s="36"/>
      <c r="F120" s="36"/>
    </row>
    <row r="121" spans="1:6">
      <c r="A121" s="36"/>
      <c r="B121" s="36"/>
      <c r="C121" s="36"/>
      <c r="D121" s="36"/>
      <c r="E121" s="36"/>
      <c r="F121" s="36"/>
    </row>
    <row r="122" spans="1:6">
      <c r="A122" s="36"/>
      <c r="B122" s="36"/>
      <c r="C122" s="36"/>
      <c r="D122" s="36"/>
      <c r="E122" s="36"/>
      <c r="F122" s="36"/>
    </row>
    <row r="123" spans="1:6">
      <c r="A123" s="36"/>
      <c r="B123" s="36"/>
      <c r="C123" s="36"/>
      <c r="D123" s="36"/>
      <c r="E123" s="36"/>
      <c r="F123" s="36"/>
    </row>
    <row r="124" spans="1:6">
      <c r="A124" s="36"/>
      <c r="B124" s="36"/>
      <c r="C124" s="36"/>
      <c r="D124" s="36"/>
      <c r="E124" s="36"/>
      <c r="F124" s="36"/>
    </row>
    <row r="125" spans="1:6">
      <c r="A125" s="36"/>
      <c r="B125" s="36"/>
      <c r="C125" s="36"/>
      <c r="D125" s="36"/>
      <c r="E125" s="36"/>
      <c r="F125" s="36"/>
    </row>
    <row r="126" spans="1:6">
      <c r="A126" s="36"/>
      <c r="B126" s="36"/>
      <c r="C126" s="36"/>
      <c r="D126" s="36"/>
      <c r="E126" s="36"/>
      <c r="F126" s="36"/>
    </row>
    <row r="127" spans="1:6">
      <c r="A127" s="36"/>
      <c r="B127" s="36"/>
      <c r="C127" s="36"/>
      <c r="D127" s="36"/>
      <c r="E127" s="36"/>
      <c r="F127" s="36"/>
    </row>
    <row r="128" spans="1:6">
      <c r="A128" s="36"/>
      <c r="B128" s="36"/>
      <c r="C128" s="36"/>
      <c r="D128" s="36"/>
      <c r="E128" s="36"/>
      <c r="F128" s="36"/>
    </row>
  </sheetData>
  <mergeCells count="83">
    <mergeCell ref="E1:F1"/>
    <mergeCell ref="A3:B3"/>
    <mergeCell ref="C5:D5"/>
    <mergeCell ref="E5:F5"/>
    <mergeCell ref="E6:F6"/>
    <mergeCell ref="E7:F7"/>
    <mergeCell ref="A8:F8"/>
    <mergeCell ref="A9:F9"/>
    <mergeCell ref="A10:F10"/>
    <mergeCell ref="A11:F11"/>
    <mergeCell ref="A13:B13"/>
    <mergeCell ref="C13:D13"/>
    <mergeCell ref="E13:F13"/>
    <mergeCell ref="A14:B14"/>
    <mergeCell ref="C14:D14"/>
    <mergeCell ref="E14:F14"/>
    <mergeCell ref="A15:B15"/>
    <mergeCell ref="C15:D15"/>
    <mergeCell ref="E15:F15"/>
    <mergeCell ref="A16:B16"/>
    <mergeCell ref="C16:D16"/>
    <mergeCell ref="E16:F16"/>
    <mergeCell ref="A17:B17"/>
    <mergeCell ref="C17:D17"/>
    <mergeCell ref="E17:F17"/>
    <mergeCell ref="A19:B19"/>
    <mergeCell ref="C19:D19"/>
    <mergeCell ref="E19:F19"/>
    <mergeCell ref="A20:B20"/>
    <mergeCell ref="C20:D20"/>
    <mergeCell ref="E20:F20"/>
    <mergeCell ref="A21:B21"/>
    <mergeCell ref="C21:D21"/>
    <mergeCell ref="E21:F21"/>
    <mergeCell ref="A22:B22"/>
    <mergeCell ref="C22:D22"/>
    <mergeCell ref="E22:F22"/>
    <mergeCell ref="A23:B23"/>
    <mergeCell ref="C23:D23"/>
    <mergeCell ref="E23:F23"/>
    <mergeCell ref="A24:B24"/>
    <mergeCell ref="C24:D24"/>
    <mergeCell ref="E24:F24"/>
    <mergeCell ref="A25:B25"/>
    <mergeCell ref="C25:D25"/>
    <mergeCell ref="E25:F25"/>
    <mergeCell ref="A26:B26"/>
    <mergeCell ref="C26:D26"/>
    <mergeCell ref="E26:F26"/>
    <mergeCell ref="A27:B27"/>
    <mergeCell ref="C27:D27"/>
    <mergeCell ref="E27:F27"/>
    <mergeCell ref="A28:B28"/>
    <mergeCell ref="C28:D28"/>
    <mergeCell ref="E28:F28"/>
    <mergeCell ref="A29:B29"/>
    <mergeCell ref="C29:D29"/>
    <mergeCell ref="E29:F29"/>
    <mergeCell ref="A30:B30"/>
    <mergeCell ref="C30:D30"/>
    <mergeCell ref="E30:F30"/>
    <mergeCell ref="A31:B31"/>
    <mergeCell ref="C31:D31"/>
    <mergeCell ref="E31:F31"/>
    <mergeCell ref="A32:B32"/>
    <mergeCell ref="C32:D32"/>
    <mergeCell ref="E32:F32"/>
    <mergeCell ref="A33:B33"/>
    <mergeCell ref="C33:D33"/>
    <mergeCell ref="E33:F33"/>
    <mergeCell ref="A34:B34"/>
    <mergeCell ref="C34:D34"/>
    <mergeCell ref="A36:C36"/>
    <mergeCell ref="C37:D37"/>
    <mergeCell ref="E37:F37"/>
    <mergeCell ref="A80:F80"/>
    <mergeCell ref="A88:F88"/>
    <mergeCell ref="A89:F89"/>
    <mergeCell ref="A90:F90"/>
    <mergeCell ref="C92:D92"/>
    <mergeCell ref="E92:F92"/>
    <mergeCell ref="A37:A38"/>
    <mergeCell ref="A82:F83"/>
  </mergeCells>
  <phoneticPr fontId="7"/>
  <dataValidations count="2">
    <dataValidation type="list" allowBlank="1" showDropDown="0" showInputMessage="1" showErrorMessage="1" sqref="E16:F16">
      <formula1>"面積・単価で按分,均等割りで按分,協定で定める方法により按分"</formula1>
    </dataValidation>
    <dataValidation type="list" allowBlank="1" showDropDown="0" showInputMessage="1" showErrorMessage="0" sqref="E14:F15">
      <formula1>"面積・単価で按分,均等割りで按分,協定で定める方法により按分"</formula1>
    </dataValidation>
  </dataValidations>
  <printOptions horizontalCentered="1"/>
  <pageMargins left="0.59055118110236227" right="0.39370078740157483" top="0.59055118110236227" bottom="0.59055118110236227" header="0.51181102362204722" footer="0.31496062992125984"/>
  <pageSetup paperSize="9" scale="95" fitToWidth="1" fitToHeight="1" orientation="portrait" usePrinterDefaults="1" r:id="rId1"/>
  <headerFooter alignWithMargins="0">
    <oddFooter>&amp;R&amp;A</oddFooter>
  </headerFooter>
  <rowBreaks count="1" manualBreakCount="1">
    <brk id="35"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U54"/>
  <sheetViews>
    <sheetView showGridLines="0" view="pageBreakPreview" zoomScale="50" zoomScaleSheetLayoutView="50" workbookViewId="0">
      <selection activeCell="Z43" sqref="Z43"/>
    </sheetView>
  </sheetViews>
  <sheetFormatPr defaultRowHeight="13.5"/>
  <cols>
    <col min="1" max="1" width="21" style="1" customWidth="1"/>
    <col min="2" max="17" width="16.25" style="1" customWidth="1"/>
    <col min="18" max="19" width="19.25" style="1" customWidth="1"/>
    <col min="20" max="20" width="16.25" style="1" customWidth="1"/>
    <col min="21" max="16384" width="9" style="1" customWidth="1"/>
  </cols>
  <sheetData>
    <row r="1" spans="1:21" s="129" customFormat="1" ht="47.25" customHeight="1">
      <c r="A1" s="130" t="s">
        <v>316</v>
      </c>
      <c r="B1" s="130"/>
      <c r="C1" s="130"/>
      <c r="D1" s="130"/>
      <c r="E1" s="130"/>
      <c r="F1" s="130"/>
      <c r="G1" s="130"/>
      <c r="H1" s="130"/>
      <c r="T1" s="191" t="s">
        <v>129</v>
      </c>
    </row>
    <row r="2" spans="1:21" s="129" customFormat="1" ht="8.25" customHeight="1">
      <c r="A2" s="131"/>
      <c r="B2" s="131"/>
      <c r="C2" s="131"/>
      <c r="D2" s="131"/>
      <c r="E2" s="131"/>
      <c r="F2" s="131"/>
    </row>
    <row r="3" spans="1:21" ht="29.25" customHeight="1">
      <c r="A3" s="132" t="s">
        <v>317</v>
      </c>
      <c r="B3" s="143" t="s">
        <v>272</v>
      </c>
      <c r="C3" s="143" t="s">
        <v>299</v>
      </c>
      <c r="D3" s="157" t="s">
        <v>312</v>
      </c>
      <c r="E3" s="157" t="s">
        <v>312</v>
      </c>
      <c r="F3" s="157" t="s">
        <v>312</v>
      </c>
      <c r="G3" s="157" t="s">
        <v>312</v>
      </c>
      <c r="H3" s="157" t="s">
        <v>312</v>
      </c>
      <c r="I3" s="157" t="s">
        <v>312</v>
      </c>
      <c r="J3" s="157" t="s">
        <v>312</v>
      </c>
      <c r="K3" s="157" t="s">
        <v>312</v>
      </c>
      <c r="L3" s="157" t="s">
        <v>312</v>
      </c>
      <c r="M3" s="157" t="s">
        <v>312</v>
      </c>
      <c r="N3" s="171" t="s">
        <v>312</v>
      </c>
      <c r="O3" s="157" t="s">
        <v>312</v>
      </c>
      <c r="P3" s="171" t="s">
        <v>312</v>
      </c>
      <c r="Q3" s="175" t="s">
        <v>175</v>
      </c>
      <c r="R3" s="182" t="s">
        <v>178</v>
      </c>
      <c r="S3" s="182" t="s">
        <v>27</v>
      </c>
      <c r="T3" s="192" t="s">
        <v>300</v>
      </c>
    </row>
    <row r="4" spans="1:21" ht="29.25" customHeight="1">
      <c r="A4" s="133"/>
      <c r="B4" s="144"/>
      <c r="C4" s="144"/>
      <c r="D4" s="158"/>
      <c r="E4" s="158"/>
      <c r="F4" s="158"/>
      <c r="G4" s="158"/>
      <c r="H4" s="158"/>
      <c r="I4" s="158"/>
      <c r="J4" s="158"/>
      <c r="K4" s="169"/>
      <c r="L4" s="169"/>
      <c r="M4" s="169"/>
      <c r="N4" s="172"/>
      <c r="O4" s="169"/>
      <c r="P4" s="172"/>
      <c r="Q4" s="176"/>
      <c r="R4" s="170"/>
      <c r="S4" s="170"/>
      <c r="T4" s="193"/>
    </row>
    <row r="5" spans="1:21" ht="29.25" customHeight="1">
      <c r="A5" s="133"/>
      <c r="B5" s="144"/>
      <c r="C5" s="144"/>
      <c r="D5" s="159" t="s">
        <v>219</v>
      </c>
      <c r="E5" s="159" t="s">
        <v>219</v>
      </c>
      <c r="F5" s="159" t="s">
        <v>219</v>
      </c>
      <c r="G5" s="159" t="s">
        <v>219</v>
      </c>
      <c r="H5" s="159" t="s">
        <v>219</v>
      </c>
      <c r="I5" s="159" t="s">
        <v>219</v>
      </c>
      <c r="J5" s="159" t="s">
        <v>219</v>
      </c>
      <c r="K5" s="159" t="s">
        <v>219</v>
      </c>
      <c r="L5" s="159" t="s">
        <v>219</v>
      </c>
      <c r="M5" s="159" t="s">
        <v>219</v>
      </c>
      <c r="N5" s="159" t="s">
        <v>219</v>
      </c>
      <c r="O5" s="159" t="s">
        <v>219</v>
      </c>
      <c r="P5" s="174" t="s">
        <v>219</v>
      </c>
      <c r="Q5" s="176"/>
      <c r="R5" s="170"/>
      <c r="S5" s="170"/>
      <c r="T5" s="193"/>
    </row>
    <row r="6" spans="1:21" ht="61.5" customHeight="1">
      <c r="A6" s="133"/>
      <c r="B6" s="145"/>
      <c r="C6" s="145"/>
      <c r="D6" s="160"/>
      <c r="E6" s="160"/>
      <c r="F6" s="160"/>
      <c r="G6" s="160"/>
      <c r="H6" s="160"/>
      <c r="I6" s="160"/>
      <c r="J6" s="160"/>
      <c r="K6" s="160"/>
      <c r="L6" s="160"/>
      <c r="M6" s="160"/>
      <c r="N6" s="160"/>
      <c r="O6" s="160"/>
      <c r="P6" s="160"/>
      <c r="Q6" s="177"/>
      <c r="R6" s="176"/>
      <c r="S6" s="170"/>
      <c r="T6" s="194"/>
    </row>
    <row r="7" spans="1:21" ht="45" customHeight="1">
      <c r="A7" s="134"/>
      <c r="B7" s="146" t="s">
        <v>313</v>
      </c>
      <c r="C7" s="146" t="s">
        <v>313</v>
      </c>
      <c r="D7" s="146" t="s">
        <v>318</v>
      </c>
      <c r="E7" s="146" t="s">
        <v>93</v>
      </c>
      <c r="F7" s="164" t="s">
        <v>124</v>
      </c>
      <c r="G7" s="164" t="s">
        <v>231</v>
      </c>
      <c r="H7" s="164" t="s">
        <v>319</v>
      </c>
      <c r="I7" s="164" t="s">
        <v>320</v>
      </c>
      <c r="J7" s="164" t="s">
        <v>112</v>
      </c>
      <c r="K7" s="170" t="s">
        <v>321</v>
      </c>
      <c r="L7" s="170" t="s">
        <v>164</v>
      </c>
      <c r="M7" s="170" t="s">
        <v>71</v>
      </c>
      <c r="N7" s="173" t="s">
        <v>209</v>
      </c>
      <c r="O7" s="170" t="s">
        <v>115</v>
      </c>
      <c r="P7" s="173" t="s">
        <v>274</v>
      </c>
      <c r="Q7" s="146" t="s">
        <v>323</v>
      </c>
      <c r="R7" s="183" t="s">
        <v>180</v>
      </c>
      <c r="S7" s="185"/>
      <c r="T7" s="195" t="s">
        <v>73</v>
      </c>
      <c r="U7" s="122"/>
    </row>
    <row r="8" spans="1:21" s="7" customFormat="1" ht="80.25" customHeight="1">
      <c r="A8" s="135">
        <f>'2（収支報告書)'!$A40</f>
        <v>0</v>
      </c>
      <c r="B8" s="147" t="str">
        <f>IF('2（収支報告書)'!$B40="","",('2（収支報告書)'!$B40))</f>
        <v/>
      </c>
      <c r="C8" s="153"/>
      <c r="D8" s="153"/>
      <c r="E8" s="153"/>
      <c r="F8" s="165"/>
      <c r="G8" s="165"/>
      <c r="H8" s="165"/>
      <c r="I8" s="165"/>
      <c r="J8" s="165"/>
      <c r="K8" s="165"/>
      <c r="L8" s="165"/>
      <c r="M8" s="165"/>
      <c r="N8" s="165"/>
      <c r="O8" s="165"/>
      <c r="P8" s="165"/>
      <c r="Q8" s="178" t="str">
        <f t="shared" ref="Q8:Q31" si="0">IF(SUM(D8:P8)=0,"",SUM(D8:P8))</f>
        <v/>
      </c>
      <c r="R8" s="178" t="str">
        <f t="shared" ref="R8:R31" si="1">IF(SUM(B8,C8,Q8)=0,"",SUM(B8,C8,Q8))</f>
        <v/>
      </c>
      <c r="S8" s="186"/>
      <c r="T8" s="196" t="str">
        <f t="shared" ref="T8:T44" si="2">IF(SUM(C8,Q8)=0,"",(SUM(C8,Q8)))</f>
        <v/>
      </c>
      <c r="U8" s="7"/>
    </row>
    <row r="9" spans="1:21" s="7" customFormat="1" ht="80.25" customHeight="1">
      <c r="A9" s="136">
        <f>'2（収支報告書)'!$A41</f>
        <v>0</v>
      </c>
      <c r="B9" s="148" t="str">
        <f>IF('2（収支報告書)'!$B41="","",('2（収支報告書)'!$B41))</f>
        <v/>
      </c>
      <c r="C9" s="154"/>
      <c r="D9" s="154"/>
      <c r="E9" s="154"/>
      <c r="F9" s="166"/>
      <c r="G9" s="166"/>
      <c r="H9" s="166"/>
      <c r="I9" s="166"/>
      <c r="J9" s="166"/>
      <c r="K9" s="166"/>
      <c r="L9" s="166"/>
      <c r="M9" s="166"/>
      <c r="N9" s="166"/>
      <c r="O9" s="166"/>
      <c r="P9" s="166"/>
      <c r="Q9" s="179" t="str">
        <f t="shared" si="0"/>
        <v/>
      </c>
      <c r="R9" s="179" t="str">
        <f t="shared" si="1"/>
        <v/>
      </c>
      <c r="S9" s="187"/>
      <c r="T9" s="197" t="str">
        <f t="shared" si="2"/>
        <v/>
      </c>
      <c r="U9" s="7"/>
    </row>
    <row r="10" spans="1:21" s="7" customFormat="1" ht="80.25" customHeight="1">
      <c r="A10" s="136">
        <f>'2（収支報告書)'!$A42</f>
        <v>0</v>
      </c>
      <c r="B10" s="148" t="str">
        <f>IF('2（収支報告書)'!$B42="","",('2（収支報告書)'!$B42))</f>
        <v/>
      </c>
      <c r="C10" s="154"/>
      <c r="D10" s="154"/>
      <c r="E10" s="154"/>
      <c r="F10" s="166"/>
      <c r="G10" s="166"/>
      <c r="H10" s="166"/>
      <c r="I10" s="166"/>
      <c r="J10" s="166"/>
      <c r="K10" s="166"/>
      <c r="L10" s="166"/>
      <c r="M10" s="166"/>
      <c r="N10" s="166"/>
      <c r="O10" s="166"/>
      <c r="P10" s="166"/>
      <c r="Q10" s="179" t="str">
        <f t="shared" si="0"/>
        <v/>
      </c>
      <c r="R10" s="179" t="str">
        <f t="shared" si="1"/>
        <v/>
      </c>
      <c r="S10" s="187"/>
      <c r="T10" s="197" t="str">
        <f t="shared" si="2"/>
        <v/>
      </c>
      <c r="U10" s="7"/>
    </row>
    <row r="11" spans="1:21" s="7" customFormat="1" ht="80.25" customHeight="1">
      <c r="A11" s="136">
        <f>'2（収支報告書)'!$A43</f>
        <v>0</v>
      </c>
      <c r="B11" s="148" t="str">
        <f>IF('2（収支報告書)'!$B43="","",('2（収支報告書)'!$B43))</f>
        <v/>
      </c>
      <c r="C11" s="154"/>
      <c r="D11" s="154"/>
      <c r="E11" s="154"/>
      <c r="F11" s="166"/>
      <c r="G11" s="166"/>
      <c r="H11" s="166"/>
      <c r="I11" s="166"/>
      <c r="J11" s="166"/>
      <c r="K11" s="166"/>
      <c r="L11" s="166"/>
      <c r="M11" s="166"/>
      <c r="N11" s="166"/>
      <c r="O11" s="166"/>
      <c r="P11" s="166"/>
      <c r="Q11" s="179" t="str">
        <f t="shared" si="0"/>
        <v/>
      </c>
      <c r="R11" s="179" t="str">
        <f t="shared" si="1"/>
        <v/>
      </c>
      <c r="S11" s="187"/>
      <c r="T11" s="197" t="str">
        <f t="shared" si="2"/>
        <v/>
      </c>
      <c r="U11" s="7"/>
    </row>
    <row r="12" spans="1:21" s="7" customFormat="1" ht="80.25" customHeight="1">
      <c r="A12" s="136">
        <f>'2（収支報告書)'!$A44</f>
        <v>0</v>
      </c>
      <c r="B12" s="148" t="str">
        <f>IF('2（収支報告書)'!$B44="","",('2（収支報告書)'!$B44))</f>
        <v/>
      </c>
      <c r="C12" s="154"/>
      <c r="D12" s="154"/>
      <c r="E12" s="154"/>
      <c r="F12" s="166"/>
      <c r="G12" s="166"/>
      <c r="H12" s="166"/>
      <c r="I12" s="166"/>
      <c r="J12" s="166"/>
      <c r="K12" s="166"/>
      <c r="L12" s="166"/>
      <c r="M12" s="166"/>
      <c r="N12" s="166"/>
      <c r="O12" s="166"/>
      <c r="P12" s="166"/>
      <c r="Q12" s="179" t="str">
        <f t="shared" si="0"/>
        <v/>
      </c>
      <c r="R12" s="179" t="str">
        <f t="shared" si="1"/>
        <v/>
      </c>
      <c r="S12" s="187"/>
      <c r="T12" s="197" t="str">
        <f t="shared" si="2"/>
        <v/>
      </c>
      <c r="U12" s="7"/>
    </row>
    <row r="13" spans="1:21" s="7" customFormat="1" ht="80.25" customHeight="1">
      <c r="A13" s="136">
        <f>'2（収支報告書)'!$A45</f>
        <v>0</v>
      </c>
      <c r="B13" s="148" t="str">
        <f>IF('2（収支報告書)'!$B45="","",('2（収支報告書)'!$B45))</f>
        <v/>
      </c>
      <c r="C13" s="154"/>
      <c r="D13" s="154"/>
      <c r="E13" s="154"/>
      <c r="F13" s="166"/>
      <c r="G13" s="166"/>
      <c r="H13" s="166"/>
      <c r="I13" s="166"/>
      <c r="J13" s="166"/>
      <c r="K13" s="166"/>
      <c r="L13" s="166"/>
      <c r="M13" s="166"/>
      <c r="N13" s="166"/>
      <c r="O13" s="166"/>
      <c r="P13" s="166"/>
      <c r="Q13" s="179" t="str">
        <f t="shared" si="0"/>
        <v/>
      </c>
      <c r="R13" s="179" t="str">
        <f t="shared" si="1"/>
        <v/>
      </c>
      <c r="S13" s="187"/>
      <c r="T13" s="197" t="str">
        <f t="shared" si="2"/>
        <v/>
      </c>
      <c r="U13" s="7"/>
    </row>
    <row r="14" spans="1:21" s="7" customFormat="1" ht="80.25" customHeight="1">
      <c r="A14" s="136">
        <f>'2（収支報告書)'!$A46</f>
        <v>0</v>
      </c>
      <c r="B14" s="148" t="str">
        <f>IF('2（収支報告書)'!$B46="","",('2（収支報告書)'!$B46))</f>
        <v/>
      </c>
      <c r="C14" s="154"/>
      <c r="D14" s="154"/>
      <c r="E14" s="154"/>
      <c r="F14" s="166"/>
      <c r="G14" s="166"/>
      <c r="H14" s="166"/>
      <c r="I14" s="166"/>
      <c r="J14" s="166"/>
      <c r="K14" s="166"/>
      <c r="L14" s="166"/>
      <c r="M14" s="166"/>
      <c r="N14" s="166"/>
      <c r="O14" s="166"/>
      <c r="P14" s="166"/>
      <c r="Q14" s="179" t="str">
        <f t="shared" si="0"/>
        <v/>
      </c>
      <c r="R14" s="179" t="str">
        <f t="shared" si="1"/>
        <v/>
      </c>
      <c r="S14" s="187"/>
      <c r="T14" s="197" t="str">
        <f t="shared" si="2"/>
        <v/>
      </c>
      <c r="U14" s="7"/>
    </row>
    <row r="15" spans="1:21" s="7" customFormat="1" ht="80.25" customHeight="1">
      <c r="A15" s="136">
        <f>'2（収支報告書)'!$A47</f>
        <v>0</v>
      </c>
      <c r="B15" s="148" t="str">
        <f>IF('2（収支報告書)'!$B47="","",('2（収支報告書)'!$B47))</f>
        <v/>
      </c>
      <c r="C15" s="154"/>
      <c r="D15" s="154"/>
      <c r="E15" s="154"/>
      <c r="F15" s="166"/>
      <c r="G15" s="166"/>
      <c r="H15" s="166"/>
      <c r="I15" s="166"/>
      <c r="J15" s="166"/>
      <c r="K15" s="166"/>
      <c r="L15" s="166"/>
      <c r="M15" s="166"/>
      <c r="N15" s="166"/>
      <c r="O15" s="166"/>
      <c r="P15" s="166"/>
      <c r="Q15" s="179" t="str">
        <f t="shared" si="0"/>
        <v/>
      </c>
      <c r="R15" s="179" t="str">
        <f t="shared" si="1"/>
        <v/>
      </c>
      <c r="S15" s="187"/>
      <c r="T15" s="197" t="str">
        <f t="shared" si="2"/>
        <v/>
      </c>
      <c r="U15" s="7"/>
    </row>
    <row r="16" spans="1:21" s="7" customFormat="1" ht="80.25" customHeight="1">
      <c r="A16" s="136">
        <f>'2（収支報告書)'!$A48</f>
        <v>0</v>
      </c>
      <c r="B16" s="148" t="str">
        <f>IF('2（収支報告書)'!$B48="","",('2（収支報告書)'!$B48))</f>
        <v/>
      </c>
      <c r="C16" s="154"/>
      <c r="D16" s="154"/>
      <c r="E16" s="154"/>
      <c r="F16" s="166"/>
      <c r="G16" s="166"/>
      <c r="H16" s="166"/>
      <c r="I16" s="166"/>
      <c r="J16" s="166"/>
      <c r="K16" s="166"/>
      <c r="L16" s="166"/>
      <c r="M16" s="166"/>
      <c r="N16" s="166"/>
      <c r="O16" s="166"/>
      <c r="P16" s="166"/>
      <c r="Q16" s="179" t="str">
        <f t="shared" si="0"/>
        <v/>
      </c>
      <c r="R16" s="179" t="str">
        <f t="shared" si="1"/>
        <v/>
      </c>
      <c r="S16" s="187"/>
      <c r="T16" s="197" t="str">
        <f t="shared" si="2"/>
        <v/>
      </c>
      <c r="U16" s="7"/>
    </row>
    <row r="17" spans="1:21" s="7" customFormat="1" ht="80.25" customHeight="1">
      <c r="A17" s="136">
        <f>'2（収支報告書)'!$A49</f>
        <v>0</v>
      </c>
      <c r="B17" s="148" t="str">
        <f>IF('2（収支報告書)'!$B49="","",('2（収支報告書)'!$B49))</f>
        <v/>
      </c>
      <c r="C17" s="154"/>
      <c r="D17" s="154"/>
      <c r="E17" s="154"/>
      <c r="F17" s="166"/>
      <c r="G17" s="166"/>
      <c r="H17" s="166"/>
      <c r="I17" s="166"/>
      <c r="J17" s="166"/>
      <c r="K17" s="166"/>
      <c r="L17" s="166"/>
      <c r="M17" s="166"/>
      <c r="N17" s="166"/>
      <c r="O17" s="166"/>
      <c r="P17" s="166"/>
      <c r="Q17" s="179" t="str">
        <f t="shared" si="0"/>
        <v/>
      </c>
      <c r="R17" s="179" t="str">
        <f t="shared" si="1"/>
        <v/>
      </c>
      <c r="S17" s="187"/>
      <c r="T17" s="197" t="str">
        <f t="shared" si="2"/>
        <v/>
      </c>
      <c r="U17" s="7"/>
    </row>
    <row r="18" spans="1:21" s="7" customFormat="1" ht="80.25" customHeight="1">
      <c r="A18" s="136">
        <f>'2（収支報告書)'!$A50</f>
        <v>0</v>
      </c>
      <c r="B18" s="148" t="str">
        <f>IF('2（収支報告書)'!$B50="","",('2（収支報告書)'!$B50))</f>
        <v/>
      </c>
      <c r="C18" s="154"/>
      <c r="D18" s="154"/>
      <c r="E18" s="154"/>
      <c r="F18" s="166"/>
      <c r="G18" s="166"/>
      <c r="H18" s="166"/>
      <c r="I18" s="166"/>
      <c r="J18" s="166"/>
      <c r="K18" s="166"/>
      <c r="L18" s="166"/>
      <c r="M18" s="166"/>
      <c r="N18" s="166"/>
      <c r="O18" s="166"/>
      <c r="P18" s="166"/>
      <c r="Q18" s="179" t="str">
        <f t="shared" si="0"/>
        <v/>
      </c>
      <c r="R18" s="179" t="str">
        <f t="shared" si="1"/>
        <v/>
      </c>
      <c r="S18" s="187"/>
      <c r="T18" s="197" t="str">
        <f t="shared" si="2"/>
        <v/>
      </c>
      <c r="U18" s="7"/>
    </row>
    <row r="19" spans="1:21" s="7" customFormat="1" ht="80.25" customHeight="1">
      <c r="A19" s="136">
        <f>'2（収支報告書)'!$A51</f>
        <v>0</v>
      </c>
      <c r="B19" s="148" t="str">
        <f>IF('2（収支報告書)'!$B51="","",('2（収支報告書)'!$B51))</f>
        <v/>
      </c>
      <c r="C19" s="154"/>
      <c r="D19" s="154"/>
      <c r="E19" s="154"/>
      <c r="F19" s="166"/>
      <c r="G19" s="166"/>
      <c r="H19" s="166"/>
      <c r="I19" s="166"/>
      <c r="J19" s="166"/>
      <c r="K19" s="166"/>
      <c r="L19" s="166"/>
      <c r="M19" s="166"/>
      <c r="N19" s="166"/>
      <c r="O19" s="166"/>
      <c r="P19" s="166"/>
      <c r="Q19" s="179" t="str">
        <f t="shared" si="0"/>
        <v/>
      </c>
      <c r="R19" s="179" t="str">
        <f t="shared" si="1"/>
        <v/>
      </c>
      <c r="S19" s="187"/>
      <c r="T19" s="197" t="str">
        <f t="shared" si="2"/>
        <v/>
      </c>
      <c r="U19" s="7"/>
    </row>
    <row r="20" spans="1:21" s="7" customFormat="1" ht="80.25" customHeight="1">
      <c r="A20" s="136">
        <f>'2（収支報告書)'!$A52</f>
        <v>0</v>
      </c>
      <c r="B20" s="148" t="str">
        <f>IF('2（収支報告書)'!$B52="","",('2（収支報告書)'!$B52))</f>
        <v/>
      </c>
      <c r="C20" s="154"/>
      <c r="D20" s="154"/>
      <c r="E20" s="154"/>
      <c r="F20" s="166"/>
      <c r="G20" s="166"/>
      <c r="H20" s="166"/>
      <c r="I20" s="166"/>
      <c r="J20" s="166"/>
      <c r="K20" s="166"/>
      <c r="L20" s="166"/>
      <c r="M20" s="166"/>
      <c r="N20" s="166"/>
      <c r="O20" s="166"/>
      <c r="P20" s="166"/>
      <c r="Q20" s="179" t="str">
        <f t="shared" si="0"/>
        <v/>
      </c>
      <c r="R20" s="179" t="str">
        <f t="shared" si="1"/>
        <v/>
      </c>
      <c r="S20" s="187"/>
      <c r="T20" s="197" t="str">
        <f t="shared" si="2"/>
        <v/>
      </c>
      <c r="U20" s="7"/>
    </row>
    <row r="21" spans="1:21" s="7" customFormat="1" ht="80.25" customHeight="1">
      <c r="A21" s="136">
        <f>'2（収支報告書)'!$A53</f>
        <v>0</v>
      </c>
      <c r="B21" s="148" t="str">
        <f>IF('2（収支報告書)'!$B53="","",('2（収支報告書)'!$B53))</f>
        <v/>
      </c>
      <c r="C21" s="154"/>
      <c r="D21" s="154"/>
      <c r="E21" s="154"/>
      <c r="F21" s="166"/>
      <c r="G21" s="166"/>
      <c r="H21" s="166"/>
      <c r="I21" s="166"/>
      <c r="J21" s="166"/>
      <c r="K21" s="166"/>
      <c r="L21" s="166"/>
      <c r="M21" s="166"/>
      <c r="N21" s="166"/>
      <c r="O21" s="166"/>
      <c r="P21" s="166"/>
      <c r="Q21" s="179" t="str">
        <f t="shared" si="0"/>
        <v/>
      </c>
      <c r="R21" s="179" t="str">
        <f t="shared" si="1"/>
        <v/>
      </c>
      <c r="S21" s="187"/>
      <c r="T21" s="197" t="str">
        <f t="shared" si="2"/>
        <v/>
      </c>
      <c r="U21" s="7"/>
    </row>
    <row r="22" spans="1:21" s="7" customFormat="1" ht="80.25" customHeight="1">
      <c r="A22" s="136">
        <f>'2（収支報告書)'!$A54</f>
        <v>0</v>
      </c>
      <c r="B22" s="149" t="str">
        <f>IF('2（収支報告書)'!$B54="","",('2（収支報告書)'!$B54))</f>
        <v/>
      </c>
      <c r="C22" s="155"/>
      <c r="D22" s="154"/>
      <c r="E22" s="154"/>
      <c r="F22" s="166"/>
      <c r="G22" s="166"/>
      <c r="H22" s="166"/>
      <c r="I22" s="166"/>
      <c r="J22" s="166"/>
      <c r="K22" s="166"/>
      <c r="L22" s="166"/>
      <c r="M22" s="166"/>
      <c r="N22" s="166"/>
      <c r="O22" s="166"/>
      <c r="P22" s="166"/>
      <c r="Q22" s="179" t="str">
        <f t="shared" si="0"/>
        <v/>
      </c>
      <c r="R22" s="179" t="str">
        <f t="shared" si="1"/>
        <v/>
      </c>
      <c r="S22" s="187"/>
      <c r="T22" s="197" t="str">
        <f t="shared" si="2"/>
        <v/>
      </c>
      <c r="U22" s="7"/>
    </row>
    <row r="23" spans="1:21" s="7" customFormat="1" ht="80.25" customHeight="1">
      <c r="A23" s="136">
        <f>'2（収支報告書)'!$A55</f>
        <v>0</v>
      </c>
      <c r="B23" s="149" t="str">
        <f>IF('2（収支報告書)'!$B55="","",('2（収支報告書)'!$B55))</f>
        <v/>
      </c>
      <c r="C23" s="155"/>
      <c r="D23" s="154"/>
      <c r="E23" s="154"/>
      <c r="F23" s="166"/>
      <c r="G23" s="166"/>
      <c r="H23" s="166"/>
      <c r="I23" s="166"/>
      <c r="J23" s="166"/>
      <c r="K23" s="166"/>
      <c r="L23" s="166"/>
      <c r="M23" s="166"/>
      <c r="N23" s="166"/>
      <c r="O23" s="166"/>
      <c r="P23" s="166"/>
      <c r="Q23" s="179" t="str">
        <f t="shared" si="0"/>
        <v/>
      </c>
      <c r="R23" s="179" t="str">
        <f t="shared" si="1"/>
        <v/>
      </c>
      <c r="S23" s="187"/>
      <c r="T23" s="197" t="str">
        <f t="shared" si="2"/>
        <v/>
      </c>
      <c r="U23" s="7"/>
    </row>
    <row r="24" spans="1:21" s="7" customFormat="1" ht="80.25" customHeight="1">
      <c r="A24" s="136">
        <f>'2（収支報告書)'!$A56</f>
        <v>0</v>
      </c>
      <c r="B24" s="149" t="str">
        <f>IF('2（収支報告書)'!$B56="","",('2（収支報告書)'!$B56))</f>
        <v/>
      </c>
      <c r="C24" s="155"/>
      <c r="D24" s="154"/>
      <c r="E24" s="154"/>
      <c r="F24" s="166"/>
      <c r="G24" s="166"/>
      <c r="H24" s="166"/>
      <c r="I24" s="166"/>
      <c r="J24" s="166"/>
      <c r="K24" s="166"/>
      <c r="L24" s="166"/>
      <c r="M24" s="166"/>
      <c r="N24" s="166"/>
      <c r="O24" s="166"/>
      <c r="P24" s="166"/>
      <c r="Q24" s="179" t="str">
        <f t="shared" si="0"/>
        <v/>
      </c>
      <c r="R24" s="179" t="str">
        <f t="shared" si="1"/>
        <v/>
      </c>
      <c r="S24" s="187"/>
      <c r="T24" s="197" t="str">
        <f t="shared" si="2"/>
        <v/>
      </c>
      <c r="U24" s="7"/>
    </row>
    <row r="25" spans="1:21" s="7" customFormat="1" ht="80.25" customHeight="1">
      <c r="A25" s="136">
        <f>'2（収支報告書)'!$A57</f>
        <v>0</v>
      </c>
      <c r="B25" s="149" t="str">
        <f>IF('2（収支報告書)'!$B57="","",('2（収支報告書)'!$B57))</f>
        <v/>
      </c>
      <c r="C25" s="155"/>
      <c r="D25" s="154"/>
      <c r="E25" s="154"/>
      <c r="F25" s="166"/>
      <c r="G25" s="166"/>
      <c r="H25" s="166"/>
      <c r="I25" s="166"/>
      <c r="J25" s="166"/>
      <c r="K25" s="166"/>
      <c r="L25" s="166"/>
      <c r="M25" s="166"/>
      <c r="N25" s="166"/>
      <c r="O25" s="166"/>
      <c r="P25" s="166"/>
      <c r="Q25" s="179" t="str">
        <f t="shared" si="0"/>
        <v/>
      </c>
      <c r="R25" s="179" t="str">
        <f t="shared" si="1"/>
        <v/>
      </c>
      <c r="S25" s="187"/>
      <c r="T25" s="197" t="str">
        <f t="shared" si="2"/>
        <v/>
      </c>
      <c r="U25" s="7"/>
    </row>
    <row r="26" spans="1:21" s="7" customFormat="1" ht="80.25" customHeight="1">
      <c r="A26" s="136">
        <f>'2（収支報告書)'!$A58</f>
        <v>0</v>
      </c>
      <c r="B26" s="149" t="str">
        <f>IF('2（収支報告書)'!$B58="","",('2（収支報告書)'!$B58))</f>
        <v/>
      </c>
      <c r="C26" s="155"/>
      <c r="D26" s="154"/>
      <c r="E26" s="154"/>
      <c r="F26" s="166"/>
      <c r="G26" s="166"/>
      <c r="H26" s="166"/>
      <c r="I26" s="166"/>
      <c r="J26" s="166"/>
      <c r="K26" s="166"/>
      <c r="L26" s="166"/>
      <c r="M26" s="166"/>
      <c r="N26" s="166"/>
      <c r="O26" s="166"/>
      <c r="P26" s="166"/>
      <c r="Q26" s="179" t="str">
        <f t="shared" si="0"/>
        <v/>
      </c>
      <c r="R26" s="179" t="str">
        <f t="shared" si="1"/>
        <v/>
      </c>
      <c r="S26" s="187"/>
      <c r="T26" s="197" t="str">
        <f t="shared" si="2"/>
        <v/>
      </c>
      <c r="U26" s="7"/>
    </row>
    <row r="27" spans="1:21" s="7" customFormat="1" ht="80.25" customHeight="1">
      <c r="A27" s="136">
        <f>'2（収支報告書)'!$A59</f>
        <v>0</v>
      </c>
      <c r="B27" s="149" t="str">
        <f>IF('2（収支報告書)'!$B59="","",('2（収支報告書)'!$B59))</f>
        <v/>
      </c>
      <c r="C27" s="155"/>
      <c r="D27" s="154"/>
      <c r="E27" s="154"/>
      <c r="F27" s="166"/>
      <c r="G27" s="166"/>
      <c r="H27" s="166"/>
      <c r="I27" s="166"/>
      <c r="J27" s="166"/>
      <c r="K27" s="166"/>
      <c r="L27" s="166"/>
      <c r="M27" s="166"/>
      <c r="N27" s="166"/>
      <c r="O27" s="166"/>
      <c r="P27" s="166"/>
      <c r="Q27" s="179" t="str">
        <f t="shared" si="0"/>
        <v/>
      </c>
      <c r="R27" s="179" t="str">
        <f t="shared" si="1"/>
        <v/>
      </c>
      <c r="S27" s="187"/>
      <c r="T27" s="197" t="str">
        <f t="shared" si="2"/>
        <v/>
      </c>
      <c r="U27" s="7"/>
    </row>
    <row r="28" spans="1:21" s="7" customFormat="1" ht="80.25" customHeight="1">
      <c r="A28" s="136">
        <f>'2（収支報告書)'!$A60</f>
        <v>0</v>
      </c>
      <c r="B28" s="149" t="str">
        <f>IF('2（収支報告書)'!$B60="","",('2（収支報告書)'!$B60))</f>
        <v/>
      </c>
      <c r="C28" s="155"/>
      <c r="D28" s="155"/>
      <c r="E28" s="155"/>
      <c r="F28" s="166"/>
      <c r="G28" s="166"/>
      <c r="H28" s="166"/>
      <c r="I28" s="166"/>
      <c r="J28" s="166"/>
      <c r="K28" s="166"/>
      <c r="L28" s="166"/>
      <c r="M28" s="166"/>
      <c r="N28" s="166"/>
      <c r="O28" s="166"/>
      <c r="P28" s="166"/>
      <c r="Q28" s="179" t="str">
        <f t="shared" si="0"/>
        <v/>
      </c>
      <c r="R28" s="179" t="str">
        <f t="shared" si="1"/>
        <v/>
      </c>
      <c r="S28" s="187"/>
      <c r="T28" s="197" t="str">
        <f t="shared" si="2"/>
        <v/>
      </c>
      <c r="U28" s="7"/>
    </row>
    <row r="29" spans="1:21" s="7" customFormat="1" ht="80.25" customHeight="1">
      <c r="A29" s="136">
        <f>'2（収支報告書)'!$A61</f>
        <v>0</v>
      </c>
      <c r="B29" s="149" t="str">
        <f>IF('2（収支報告書)'!$B61="","",('2（収支報告書)'!$B61))</f>
        <v/>
      </c>
      <c r="C29" s="155"/>
      <c r="D29" s="155"/>
      <c r="E29" s="155"/>
      <c r="F29" s="166"/>
      <c r="G29" s="166"/>
      <c r="H29" s="166"/>
      <c r="I29" s="166"/>
      <c r="J29" s="166"/>
      <c r="K29" s="166"/>
      <c r="L29" s="166"/>
      <c r="M29" s="166"/>
      <c r="N29" s="166"/>
      <c r="O29" s="166"/>
      <c r="P29" s="166"/>
      <c r="Q29" s="179" t="str">
        <f t="shared" si="0"/>
        <v/>
      </c>
      <c r="R29" s="179" t="str">
        <f t="shared" si="1"/>
        <v/>
      </c>
      <c r="S29" s="187"/>
      <c r="T29" s="197" t="str">
        <f t="shared" si="2"/>
        <v/>
      </c>
      <c r="U29" s="7"/>
    </row>
    <row r="30" spans="1:21" s="7" customFormat="1" ht="80.25" customHeight="1">
      <c r="A30" s="136">
        <f>'2（収支報告書)'!$A62</f>
        <v>0</v>
      </c>
      <c r="B30" s="149" t="str">
        <f>IF('2（収支報告書)'!$B62="","",('2（収支報告書)'!$B62))</f>
        <v/>
      </c>
      <c r="C30" s="155"/>
      <c r="D30" s="155"/>
      <c r="E30" s="155"/>
      <c r="F30" s="166"/>
      <c r="G30" s="166"/>
      <c r="H30" s="166"/>
      <c r="I30" s="166"/>
      <c r="J30" s="166"/>
      <c r="K30" s="166"/>
      <c r="L30" s="166"/>
      <c r="M30" s="166"/>
      <c r="N30" s="166"/>
      <c r="O30" s="166"/>
      <c r="P30" s="166"/>
      <c r="Q30" s="179" t="str">
        <f t="shared" si="0"/>
        <v/>
      </c>
      <c r="R30" s="179" t="str">
        <f t="shared" si="1"/>
        <v/>
      </c>
      <c r="S30" s="187"/>
      <c r="T30" s="197" t="str">
        <f t="shared" si="2"/>
        <v/>
      </c>
      <c r="U30" s="7"/>
    </row>
    <row r="31" spans="1:21" s="7" customFormat="1" ht="80.25" customHeight="1">
      <c r="A31" s="136">
        <f>'2（収支報告書)'!$A63</f>
        <v>0</v>
      </c>
      <c r="B31" s="149" t="str">
        <f>IF('2（収支報告書)'!$B63="","",('2（収支報告書)'!$B63))</f>
        <v/>
      </c>
      <c r="C31" s="155"/>
      <c r="D31" s="155"/>
      <c r="E31" s="155"/>
      <c r="F31" s="166"/>
      <c r="G31" s="166"/>
      <c r="H31" s="166"/>
      <c r="I31" s="166"/>
      <c r="J31" s="166"/>
      <c r="K31" s="166"/>
      <c r="L31" s="166"/>
      <c r="M31" s="166"/>
      <c r="N31" s="166"/>
      <c r="O31" s="166"/>
      <c r="P31" s="166"/>
      <c r="Q31" s="179" t="str">
        <f t="shared" si="0"/>
        <v/>
      </c>
      <c r="R31" s="179" t="str">
        <f t="shared" si="1"/>
        <v/>
      </c>
      <c r="S31" s="187"/>
      <c r="T31" s="197" t="str">
        <f t="shared" si="2"/>
        <v/>
      </c>
      <c r="U31" s="7"/>
    </row>
    <row r="32" spans="1:21" s="7" customFormat="1" ht="80.25" customHeight="1">
      <c r="A32" s="136">
        <f>'2（収支報告書)'!$A64</f>
        <v>0</v>
      </c>
      <c r="B32" s="149" t="str">
        <f>IF('2（収支報告書)'!$B64="","",('2（収支報告書)'!$B64))</f>
        <v/>
      </c>
      <c r="C32" s="155"/>
      <c r="D32" s="155"/>
      <c r="E32" s="155"/>
      <c r="F32" s="166"/>
      <c r="G32" s="166"/>
      <c r="H32" s="166"/>
      <c r="I32" s="166"/>
      <c r="J32" s="166"/>
      <c r="K32" s="166"/>
      <c r="L32" s="166"/>
      <c r="M32" s="166"/>
      <c r="N32" s="166"/>
      <c r="O32" s="166"/>
      <c r="P32" s="166"/>
      <c r="Q32" s="179"/>
      <c r="R32" s="179"/>
      <c r="S32" s="187"/>
      <c r="T32" s="197" t="str">
        <f t="shared" si="2"/>
        <v/>
      </c>
      <c r="U32" s="7"/>
    </row>
    <row r="33" spans="1:21" s="7" customFormat="1" ht="80.25" customHeight="1">
      <c r="A33" s="136">
        <f>'2（収支報告書)'!$A65</f>
        <v>0</v>
      </c>
      <c r="B33" s="149" t="str">
        <f>IF('2（収支報告書)'!$B65="","",('2（収支報告書)'!$B65))</f>
        <v/>
      </c>
      <c r="C33" s="155"/>
      <c r="D33" s="155"/>
      <c r="E33" s="155"/>
      <c r="F33" s="166"/>
      <c r="G33" s="166"/>
      <c r="H33" s="166"/>
      <c r="I33" s="166"/>
      <c r="J33" s="166"/>
      <c r="K33" s="166"/>
      <c r="L33" s="166"/>
      <c r="M33" s="166"/>
      <c r="N33" s="166"/>
      <c r="O33" s="166"/>
      <c r="P33" s="166"/>
      <c r="Q33" s="179"/>
      <c r="R33" s="179"/>
      <c r="S33" s="187"/>
      <c r="T33" s="197" t="str">
        <f t="shared" si="2"/>
        <v/>
      </c>
      <c r="U33" s="7"/>
    </row>
    <row r="34" spans="1:21" s="7" customFormat="1" ht="80.25" customHeight="1">
      <c r="A34" s="136">
        <f>'2（収支報告書)'!$A66</f>
        <v>0</v>
      </c>
      <c r="B34" s="149" t="str">
        <f>IF('2（収支報告書)'!$B66="","",('2（収支報告書)'!$B66))</f>
        <v/>
      </c>
      <c r="C34" s="155"/>
      <c r="D34" s="155"/>
      <c r="E34" s="155"/>
      <c r="F34" s="166"/>
      <c r="G34" s="166"/>
      <c r="H34" s="166"/>
      <c r="I34" s="166"/>
      <c r="J34" s="166"/>
      <c r="K34" s="166"/>
      <c r="L34" s="166"/>
      <c r="M34" s="166"/>
      <c r="N34" s="166"/>
      <c r="O34" s="166"/>
      <c r="P34" s="166"/>
      <c r="Q34" s="179"/>
      <c r="R34" s="179"/>
      <c r="S34" s="187"/>
      <c r="T34" s="197" t="str">
        <f t="shared" si="2"/>
        <v/>
      </c>
      <c r="U34" s="7"/>
    </row>
    <row r="35" spans="1:21" s="7" customFormat="1" ht="80.25" customHeight="1">
      <c r="A35" s="136">
        <f>'2（収支報告書)'!$A67</f>
        <v>0</v>
      </c>
      <c r="B35" s="149" t="str">
        <f>IF('2（収支報告書)'!$B67="","",('2（収支報告書)'!$B67))</f>
        <v/>
      </c>
      <c r="C35" s="155"/>
      <c r="D35" s="155"/>
      <c r="E35" s="155"/>
      <c r="F35" s="166"/>
      <c r="G35" s="166"/>
      <c r="H35" s="166"/>
      <c r="I35" s="166"/>
      <c r="J35" s="166"/>
      <c r="K35" s="166"/>
      <c r="L35" s="166"/>
      <c r="M35" s="166"/>
      <c r="N35" s="166"/>
      <c r="O35" s="166"/>
      <c r="P35" s="166"/>
      <c r="Q35" s="179"/>
      <c r="R35" s="179"/>
      <c r="S35" s="187"/>
      <c r="T35" s="197" t="str">
        <f t="shared" si="2"/>
        <v/>
      </c>
      <c r="U35" s="7"/>
    </row>
    <row r="36" spans="1:21" s="7" customFormat="1" ht="80.25" customHeight="1">
      <c r="A36" s="136">
        <f>'2（収支報告書)'!$A68</f>
        <v>0</v>
      </c>
      <c r="B36" s="149" t="str">
        <f>IF('2（収支報告書)'!$B68="","",('2（収支報告書)'!$B68))</f>
        <v/>
      </c>
      <c r="C36" s="155"/>
      <c r="D36" s="155"/>
      <c r="E36" s="155"/>
      <c r="F36" s="166"/>
      <c r="G36" s="166"/>
      <c r="H36" s="166"/>
      <c r="I36" s="166"/>
      <c r="J36" s="166"/>
      <c r="K36" s="166"/>
      <c r="L36" s="166"/>
      <c r="M36" s="166"/>
      <c r="N36" s="166"/>
      <c r="O36" s="166"/>
      <c r="P36" s="166"/>
      <c r="Q36" s="179"/>
      <c r="R36" s="179"/>
      <c r="S36" s="187"/>
      <c r="T36" s="197" t="str">
        <f t="shared" si="2"/>
        <v/>
      </c>
      <c r="U36" s="7"/>
    </row>
    <row r="37" spans="1:21" s="7" customFormat="1" ht="80.25" customHeight="1">
      <c r="A37" s="136">
        <f>'2（収支報告書)'!$A69</f>
        <v>0</v>
      </c>
      <c r="B37" s="149" t="str">
        <f>IF('2（収支報告書)'!$B69="","",('2（収支報告書)'!$B69))</f>
        <v/>
      </c>
      <c r="C37" s="155"/>
      <c r="D37" s="155"/>
      <c r="E37" s="155"/>
      <c r="F37" s="166"/>
      <c r="G37" s="166"/>
      <c r="H37" s="166"/>
      <c r="I37" s="166"/>
      <c r="J37" s="166"/>
      <c r="K37" s="166"/>
      <c r="L37" s="166"/>
      <c r="M37" s="166"/>
      <c r="N37" s="166"/>
      <c r="O37" s="166"/>
      <c r="P37" s="166"/>
      <c r="Q37" s="179"/>
      <c r="R37" s="179"/>
      <c r="S37" s="187"/>
      <c r="T37" s="197" t="str">
        <f t="shared" si="2"/>
        <v/>
      </c>
      <c r="U37" s="7"/>
    </row>
    <row r="38" spans="1:21" s="7" customFormat="1" ht="80.25" customHeight="1">
      <c r="A38" s="136">
        <f>'2（収支報告書)'!$A70</f>
        <v>0</v>
      </c>
      <c r="B38" s="149" t="str">
        <f>IF('2（収支報告書)'!$B70="","",('2（収支報告書)'!$B70))</f>
        <v/>
      </c>
      <c r="C38" s="155"/>
      <c r="D38" s="155"/>
      <c r="E38" s="155"/>
      <c r="F38" s="166"/>
      <c r="G38" s="166"/>
      <c r="H38" s="166"/>
      <c r="I38" s="166"/>
      <c r="J38" s="166"/>
      <c r="K38" s="166"/>
      <c r="L38" s="166"/>
      <c r="M38" s="166"/>
      <c r="N38" s="166"/>
      <c r="O38" s="166"/>
      <c r="P38" s="166"/>
      <c r="Q38" s="179"/>
      <c r="R38" s="179"/>
      <c r="S38" s="187"/>
      <c r="T38" s="197" t="str">
        <f t="shared" si="2"/>
        <v/>
      </c>
      <c r="U38" s="7"/>
    </row>
    <row r="39" spans="1:21" s="7" customFormat="1" ht="80.25" customHeight="1">
      <c r="A39" s="136">
        <f>'2（収支報告書)'!$A71</f>
        <v>0</v>
      </c>
      <c r="B39" s="149" t="str">
        <f>IF('2（収支報告書)'!$B71="","",('2（収支報告書)'!$B71))</f>
        <v/>
      </c>
      <c r="C39" s="155"/>
      <c r="D39" s="155"/>
      <c r="E39" s="155"/>
      <c r="F39" s="166"/>
      <c r="G39" s="166"/>
      <c r="H39" s="166"/>
      <c r="I39" s="166"/>
      <c r="J39" s="166"/>
      <c r="K39" s="166"/>
      <c r="L39" s="166"/>
      <c r="M39" s="166"/>
      <c r="N39" s="166"/>
      <c r="O39" s="166"/>
      <c r="P39" s="166"/>
      <c r="Q39" s="179"/>
      <c r="R39" s="179"/>
      <c r="S39" s="187"/>
      <c r="T39" s="197" t="str">
        <f t="shared" si="2"/>
        <v/>
      </c>
      <c r="U39" s="7"/>
    </row>
    <row r="40" spans="1:21" s="7" customFormat="1" ht="80.25" customHeight="1">
      <c r="A40" s="136">
        <f>'2（収支報告書)'!$A72</f>
        <v>0</v>
      </c>
      <c r="B40" s="149" t="str">
        <f>IF('2（収支報告書)'!$B72="","",('2（収支報告書)'!$B72))</f>
        <v/>
      </c>
      <c r="C40" s="155"/>
      <c r="D40" s="155"/>
      <c r="E40" s="155"/>
      <c r="F40" s="166"/>
      <c r="G40" s="166"/>
      <c r="H40" s="166"/>
      <c r="I40" s="166"/>
      <c r="J40" s="166"/>
      <c r="K40" s="166"/>
      <c r="L40" s="166"/>
      <c r="M40" s="166"/>
      <c r="N40" s="166"/>
      <c r="O40" s="166"/>
      <c r="P40" s="166"/>
      <c r="Q40" s="179"/>
      <c r="R40" s="179"/>
      <c r="S40" s="187"/>
      <c r="T40" s="197" t="str">
        <f t="shared" si="2"/>
        <v/>
      </c>
      <c r="U40" s="7"/>
    </row>
    <row r="41" spans="1:21" s="7" customFormat="1" ht="80.25" customHeight="1">
      <c r="A41" s="136">
        <f>'2（収支報告書)'!$A73</f>
        <v>0</v>
      </c>
      <c r="B41" s="149" t="str">
        <f>IF('2（収支報告書)'!$B73="","",('2（収支報告書)'!$B73))</f>
        <v/>
      </c>
      <c r="C41" s="155"/>
      <c r="D41" s="155"/>
      <c r="E41" s="155"/>
      <c r="F41" s="166"/>
      <c r="G41" s="166"/>
      <c r="H41" s="166"/>
      <c r="I41" s="166"/>
      <c r="J41" s="166"/>
      <c r="K41" s="166"/>
      <c r="L41" s="166"/>
      <c r="M41" s="166"/>
      <c r="N41" s="166"/>
      <c r="O41" s="166"/>
      <c r="P41" s="166"/>
      <c r="Q41" s="179"/>
      <c r="R41" s="179"/>
      <c r="S41" s="187"/>
      <c r="T41" s="197" t="str">
        <f t="shared" si="2"/>
        <v/>
      </c>
      <c r="U41" s="7"/>
    </row>
    <row r="42" spans="1:21" s="7" customFormat="1" ht="80.25" customHeight="1">
      <c r="A42" s="136">
        <f>'2（収支報告書)'!$A74</f>
        <v>0</v>
      </c>
      <c r="B42" s="149" t="str">
        <f>IF('2（収支報告書)'!$B74="","",('2（収支報告書)'!$B74))</f>
        <v/>
      </c>
      <c r="C42" s="155"/>
      <c r="D42" s="155"/>
      <c r="E42" s="155"/>
      <c r="F42" s="166"/>
      <c r="G42" s="166"/>
      <c r="H42" s="166"/>
      <c r="I42" s="166"/>
      <c r="J42" s="166"/>
      <c r="K42" s="166"/>
      <c r="L42" s="166"/>
      <c r="M42" s="166"/>
      <c r="N42" s="166"/>
      <c r="O42" s="166"/>
      <c r="P42" s="166"/>
      <c r="Q42" s="179"/>
      <c r="R42" s="179"/>
      <c r="S42" s="187"/>
      <c r="T42" s="197" t="str">
        <f t="shared" si="2"/>
        <v/>
      </c>
      <c r="U42" s="7"/>
    </row>
    <row r="43" spans="1:21" s="7" customFormat="1" ht="80.25" customHeight="1">
      <c r="A43" s="136">
        <f>'2（収支報告書)'!$A75</f>
        <v>0</v>
      </c>
      <c r="B43" s="149" t="str">
        <f>IF('2（収支報告書)'!$B75="","",('2（収支報告書)'!$B75))</f>
        <v/>
      </c>
      <c r="C43" s="155"/>
      <c r="D43" s="155"/>
      <c r="E43" s="155"/>
      <c r="F43" s="166"/>
      <c r="G43" s="166"/>
      <c r="H43" s="166"/>
      <c r="I43" s="166"/>
      <c r="J43" s="166"/>
      <c r="K43" s="166"/>
      <c r="L43" s="166"/>
      <c r="M43" s="166"/>
      <c r="N43" s="166"/>
      <c r="O43" s="166"/>
      <c r="P43" s="166"/>
      <c r="Q43" s="179"/>
      <c r="R43" s="179"/>
      <c r="S43" s="187"/>
      <c r="T43" s="197" t="str">
        <f t="shared" si="2"/>
        <v/>
      </c>
      <c r="U43" s="7"/>
    </row>
    <row r="44" spans="1:21" s="7" customFormat="1" ht="80.25" customHeight="1">
      <c r="A44" s="137">
        <f>'2（収支報告書)'!$A76</f>
        <v>0</v>
      </c>
      <c r="B44" s="150" t="str">
        <f>IF('2（収支報告書)'!$B76="","",('2（収支報告書)'!$B76))</f>
        <v/>
      </c>
      <c r="C44" s="156"/>
      <c r="D44" s="156"/>
      <c r="E44" s="156"/>
      <c r="F44" s="167"/>
      <c r="G44" s="167"/>
      <c r="H44" s="167"/>
      <c r="I44" s="167"/>
      <c r="J44" s="167"/>
      <c r="K44" s="167"/>
      <c r="L44" s="167"/>
      <c r="M44" s="167"/>
      <c r="N44" s="167"/>
      <c r="O44" s="167"/>
      <c r="P44" s="167"/>
      <c r="Q44" s="180" t="str">
        <f>IF(SUM(D44:P44)=0,"",SUM(D44:P44))</f>
        <v/>
      </c>
      <c r="R44" s="180" t="str">
        <f>IF(SUM(B44,C44,Q44)=0,"",SUM(B44,C44,Q44))</f>
        <v/>
      </c>
      <c r="S44" s="188"/>
      <c r="T44" s="198" t="str">
        <f t="shared" si="2"/>
        <v/>
      </c>
      <c r="U44" s="7"/>
    </row>
    <row r="45" spans="1:21" ht="30" customHeight="1">
      <c r="A45" s="138" t="s">
        <v>182</v>
      </c>
      <c r="B45" s="151" t="str">
        <f t="shared" ref="B45:R45" si="3">IF(SUM(B8:B44)=0,"",SUM(B8:B44))</f>
        <v/>
      </c>
      <c r="C45" s="151" t="str">
        <f t="shared" si="3"/>
        <v/>
      </c>
      <c r="D45" s="151" t="str">
        <f t="shared" si="3"/>
        <v/>
      </c>
      <c r="E45" s="151" t="str">
        <f t="shared" si="3"/>
        <v/>
      </c>
      <c r="F45" s="151" t="str">
        <f t="shared" si="3"/>
        <v/>
      </c>
      <c r="G45" s="151" t="str">
        <f t="shared" si="3"/>
        <v/>
      </c>
      <c r="H45" s="151" t="str">
        <f t="shared" si="3"/>
        <v/>
      </c>
      <c r="I45" s="151" t="str">
        <f t="shared" si="3"/>
        <v/>
      </c>
      <c r="J45" s="151" t="str">
        <f t="shared" si="3"/>
        <v/>
      </c>
      <c r="K45" s="151" t="str">
        <f t="shared" si="3"/>
        <v/>
      </c>
      <c r="L45" s="151" t="str">
        <f t="shared" si="3"/>
        <v/>
      </c>
      <c r="M45" s="151" t="str">
        <f t="shared" si="3"/>
        <v/>
      </c>
      <c r="N45" s="151" t="str">
        <f t="shared" si="3"/>
        <v/>
      </c>
      <c r="O45" s="151" t="str">
        <f t="shared" si="3"/>
        <v/>
      </c>
      <c r="P45" s="151" t="str">
        <f t="shared" si="3"/>
        <v/>
      </c>
      <c r="Q45" s="151" t="str">
        <f t="shared" si="3"/>
        <v/>
      </c>
      <c r="R45" s="151" t="str">
        <f t="shared" si="3"/>
        <v/>
      </c>
      <c r="S45" s="189"/>
      <c r="T45" s="199" t="str">
        <f>IF(SUM(T8:T44)=0,"",SUM(T8:T44))</f>
        <v/>
      </c>
    </row>
    <row r="46" spans="1:21" ht="80.25" customHeight="1">
      <c r="A46" s="134" t="s">
        <v>183</v>
      </c>
      <c r="B46" s="152"/>
      <c r="C46" s="152"/>
      <c r="D46" s="152"/>
      <c r="E46" s="152"/>
      <c r="F46" s="152"/>
      <c r="G46" s="152"/>
      <c r="H46" s="152"/>
      <c r="I46" s="152"/>
      <c r="J46" s="152"/>
      <c r="K46" s="152"/>
      <c r="L46" s="152"/>
      <c r="M46" s="152"/>
      <c r="N46" s="152"/>
      <c r="O46" s="152"/>
      <c r="P46" s="152"/>
      <c r="Q46" s="181"/>
      <c r="R46" s="184"/>
      <c r="S46" s="190"/>
      <c r="T46" s="200"/>
    </row>
    <row r="47" spans="1:21" ht="80.25" customHeight="1">
      <c r="A47" s="139" t="s">
        <v>145</v>
      </c>
      <c r="B47" s="152"/>
      <c r="C47" s="152"/>
      <c r="D47" s="152"/>
      <c r="E47" s="152"/>
      <c r="F47" s="152"/>
      <c r="G47" s="152"/>
      <c r="H47" s="152"/>
      <c r="I47" s="152"/>
      <c r="J47" s="152"/>
      <c r="K47" s="152"/>
      <c r="L47" s="152"/>
      <c r="M47" s="152"/>
      <c r="N47" s="152"/>
      <c r="O47" s="152"/>
      <c r="P47" s="152"/>
      <c r="Q47" s="181"/>
      <c r="R47" s="184"/>
      <c r="S47" s="190"/>
      <c r="T47" s="200"/>
    </row>
    <row r="48" spans="1:21" ht="9" customHeight="1">
      <c r="A48" s="140"/>
    </row>
    <row r="49" spans="1:7" ht="26.25" customHeight="1">
      <c r="A49" s="141"/>
      <c r="B49" s="141"/>
      <c r="C49" s="141"/>
      <c r="D49" s="161"/>
      <c r="E49" s="141"/>
      <c r="F49" s="141"/>
      <c r="G49" s="141"/>
    </row>
    <row r="50" spans="1:7" ht="26.25" customHeight="1">
      <c r="A50" s="142"/>
      <c r="B50" s="7"/>
      <c r="C50" s="7"/>
      <c r="D50" s="162"/>
      <c r="E50" s="142"/>
      <c r="F50" s="7"/>
      <c r="G50" s="7"/>
    </row>
    <row r="51" spans="1:7" ht="26.25" customHeight="1">
      <c r="A51" s="142"/>
      <c r="B51" s="7"/>
      <c r="C51" s="7"/>
      <c r="D51" s="162"/>
      <c r="E51" s="142"/>
      <c r="F51" s="168"/>
      <c r="G51" s="168"/>
    </row>
    <row r="52" spans="1:7" ht="26.25" customHeight="1">
      <c r="A52" s="142"/>
      <c r="B52" s="7"/>
      <c r="C52" s="7"/>
      <c r="D52" s="162"/>
      <c r="E52" s="142"/>
      <c r="F52" s="7"/>
      <c r="G52" s="7"/>
    </row>
    <row r="53" spans="1:7" ht="26.25" customHeight="1">
      <c r="A53" s="142"/>
      <c r="B53" s="7"/>
      <c r="C53" s="7"/>
      <c r="D53" s="163"/>
      <c r="E53" s="142"/>
      <c r="F53" s="7"/>
      <c r="G53" s="7"/>
    </row>
    <row r="54" spans="1:7">
      <c r="A54" s="140"/>
    </row>
  </sheetData>
  <mergeCells count="19">
    <mergeCell ref="A1:H1"/>
    <mergeCell ref="A49:C49"/>
    <mergeCell ref="E49:G49"/>
    <mergeCell ref="B50:C50"/>
    <mergeCell ref="F50:G50"/>
    <mergeCell ref="B51:C51"/>
    <mergeCell ref="F51:G51"/>
    <mergeCell ref="B52:C52"/>
    <mergeCell ref="F52:G52"/>
    <mergeCell ref="B53:C53"/>
    <mergeCell ref="F53:G53"/>
    <mergeCell ref="A3:A7"/>
    <mergeCell ref="B3:B6"/>
    <mergeCell ref="C3:C6"/>
    <mergeCell ref="Q3:Q6"/>
    <mergeCell ref="R3:R6"/>
    <mergeCell ref="S3:S7"/>
    <mergeCell ref="T3:T6"/>
    <mergeCell ref="D50:D51"/>
  </mergeCells>
  <phoneticPr fontId="7"/>
  <printOptions horizontalCentered="1"/>
  <pageMargins left="0.19685039370078741" right="0.19685039370078741" top="0.59055118110236227" bottom="0.59055118110236227" header="0" footer="0"/>
  <pageSetup paperSize="9" scale="38" fitToWidth="1" fitToHeight="0" orientation="landscape" usePrinterDefaults="1" r:id="rId1"/>
  <headerFooter alignWithMargins="0">
    <oddFooter>&amp;C&amp;20
&amp;R&amp;20&amp;A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U54"/>
  <sheetViews>
    <sheetView showGridLines="0" view="pageBreakPreview" zoomScale="50" zoomScaleSheetLayoutView="50" workbookViewId="0">
      <selection sqref="A1:H1"/>
    </sheetView>
  </sheetViews>
  <sheetFormatPr defaultRowHeight="13.5"/>
  <cols>
    <col min="1" max="1" width="21" style="1" customWidth="1"/>
    <col min="2" max="17" width="16.25" style="1" customWidth="1"/>
    <col min="18" max="19" width="19.125" style="1" customWidth="1"/>
    <col min="20" max="20" width="16.25" style="1" customWidth="1"/>
    <col min="21" max="16384" width="9" style="1" customWidth="1"/>
  </cols>
  <sheetData>
    <row r="1" spans="1:21" s="129" customFormat="1" ht="47.25" customHeight="1">
      <c r="A1" s="130" t="s">
        <v>340</v>
      </c>
      <c r="B1" s="130"/>
      <c r="C1" s="130"/>
      <c r="D1" s="130"/>
      <c r="E1" s="130"/>
      <c r="F1" s="130"/>
      <c r="G1" s="130"/>
      <c r="H1" s="130"/>
      <c r="T1" s="191" t="s">
        <v>129</v>
      </c>
    </row>
    <row r="2" spans="1:21" s="129" customFormat="1" ht="8.25" customHeight="1">
      <c r="A2" s="131"/>
      <c r="B2" s="131"/>
      <c r="C2" s="131"/>
      <c r="D2" s="131"/>
      <c r="E2" s="131"/>
      <c r="F2" s="131"/>
    </row>
    <row r="3" spans="1:21" ht="29.25" customHeight="1">
      <c r="A3" s="132" t="s">
        <v>174</v>
      </c>
      <c r="B3" s="143" t="s">
        <v>272</v>
      </c>
      <c r="C3" s="182" t="s">
        <v>299</v>
      </c>
      <c r="D3" s="157" t="s">
        <v>312</v>
      </c>
      <c r="E3" s="157" t="s">
        <v>312</v>
      </c>
      <c r="F3" s="157" t="s">
        <v>312</v>
      </c>
      <c r="G3" s="157" t="s">
        <v>312</v>
      </c>
      <c r="H3" s="157" t="s">
        <v>312</v>
      </c>
      <c r="I3" s="157" t="s">
        <v>312</v>
      </c>
      <c r="J3" s="157" t="s">
        <v>312</v>
      </c>
      <c r="K3" s="157" t="s">
        <v>312</v>
      </c>
      <c r="L3" s="157" t="s">
        <v>312</v>
      </c>
      <c r="M3" s="157" t="s">
        <v>312</v>
      </c>
      <c r="N3" s="171" t="s">
        <v>312</v>
      </c>
      <c r="O3" s="157" t="s">
        <v>312</v>
      </c>
      <c r="P3" s="171" t="s">
        <v>312</v>
      </c>
      <c r="Q3" s="175" t="s">
        <v>175</v>
      </c>
      <c r="R3" s="182" t="s">
        <v>178</v>
      </c>
      <c r="S3" s="182" t="s">
        <v>27</v>
      </c>
      <c r="T3" s="192" t="s">
        <v>300</v>
      </c>
    </row>
    <row r="4" spans="1:21" ht="29.25" customHeight="1">
      <c r="A4" s="133"/>
      <c r="B4" s="144"/>
      <c r="C4" s="170"/>
      <c r="D4" s="158">
        <v>44687</v>
      </c>
      <c r="E4" s="158">
        <v>44744</v>
      </c>
      <c r="F4" s="158">
        <v>44662</v>
      </c>
      <c r="G4" s="158">
        <v>44669</v>
      </c>
      <c r="H4" s="158">
        <v>44655</v>
      </c>
      <c r="I4" s="158">
        <v>44746</v>
      </c>
      <c r="J4" s="158">
        <v>44662</v>
      </c>
      <c r="K4" s="169">
        <v>44767</v>
      </c>
      <c r="L4" s="169">
        <v>44775</v>
      </c>
      <c r="M4" s="169">
        <v>44837</v>
      </c>
      <c r="N4" s="172">
        <v>44844</v>
      </c>
      <c r="O4" s="169"/>
      <c r="P4" s="172"/>
      <c r="Q4" s="176"/>
      <c r="R4" s="170"/>
      <c r="S4" s="170"/>
      <c r="T4" s="193"/>
    </row>
    <row r="5" spans="1:21" ht="29.25" customHeight="1">
      <c r="A5" s="133"/>
      <c r="B5" s="144"/>
      <c r="C5" s="170"/>
      <c r="D5" s="159" t="s">
        <v>219</v>
      </c>
      <c r="E5" s="159" t="s">
        <v>219</v>
      </c>
      <c r="F5" s="159" t="s">
        <v>219</v>
      </c>
      <c r="G5" s="159" t="s">
        <v>219</v>
      </c>
      <c r="H5" s="159" t="s">
        <v>219</v>
      </c>
      <c r="I5" s="159" t="s">
        <v>219</v>
      </c>
      <c r="J5" s="159" t="s">
        <v>219</v>
      </c>
      <c r="K5" s="159" t="s">
        <v>219</v>
      </c>
      <c r="L5" s="159" t="s">
        <v>219</v>
      </c>
      <c r="M5" s="159" t="s">
        <v>219</v>
      </c>
      <c r="N5" s="159" t="s">
        <v>219</v>
      </c>
      <c r="O5" s="159" t="s">
        <v>219</v>
      </c>
      <c r="P5" s="174" t="s">
        <v>219</v>
      </c>
      <c r="Q5" s="176"/>
      <c r="R5" s="170"/>
      <c r="S5" s="170"/>
      <c r="T5" s="193"/>
    </row>
    <row r="6" spans="1:21" ht="61.5" customHeight="1">
      <c r="A6" s="133"/>
      <c r="B6" s="145"/>
      <c r="C6" s="176"/>
      <c r="D6" s="160" t="s">
        <v>95</v>
      </c>
      <c r="E6" s="201" t="s">
        <v>179</v>
      </c>
      <c r="F6" s="201" t="s">
        <v>258</v>
      </c>
      <c r="G6" s="201" t="s">
        <v>138</v>
      </c>
      <c r="H6" s="201" t="s">
        <v>179</v>
      </c>
      <c r="I6" s="201" t="s">
        <v>179</v>
      </c>
      <c r="J6" s="201" t="s">
        <v>100</v>
      </c>
      <c r="K6" s="202" t="s">
        <v>2</v>
      </c>
      <c r="L6" s="202" t="s">
        <v>2</v>
      </c>
      <c r="M6" s="202" t="s">
        <v>293</v>
      </c>
      <c r="N6" s="203" t="s">
        <v>35</v>
      </c>
      <c r="O6" s="202"/>
      <c r="P6" s="203"/>
      <c r="Q6" s="177"/>
      <c r="R6" s="176"/>
      <c r="S6" s="170"/>
      <c r="T6" s="194"/>
    </row>
    <row r="7" spans="1:21" ht="45" customHeight="1">
      <c r="A7" s="133"/>
      <c r="B7" s="146" t="s">
        <v>313</v>
      </c>
      <c r="C7" s="146" t="s">
        <v>313</v>
      </c>
      <c r="D7" s="146" t="s">
        <v>318</v>
      </c>
      <c r="E7" s="146" t="s">
        <v>93</v>
      </c>
      <c r="F7" s="164" t="s">
        <v>124</v>
      </c>
      <c r="G7" s="164" t="s">
        <v>231</v>
      </c>
      <c r="H7" s="164" t="s">
        <v>319</v>
      </c>
      <c r="I7" s="164" t="s">
        <v>320</v>
      </c>
      <c r="J7" s="164" t="s">
        <v>112</v>
      </c>
      <c r="K7" s="170" t="s">
        <v>321</v>
      </c>
      <c r="L7" s="170" t="s">
        <v>164</v>
      </c>
      <c r="M7" s="170" t="s">
        <v>71</v>
      </c>
      <c r="N7" s="173" t="s">
        <v>209</v>
      </c>
      <c r="O7" s="170" t="s">
        <v>115</v>
      </c>
      <c r="P7" s="173" t="s">
        <v>274</v>
      </c>
      <c r="Q7" s="146" t="s">
        <v>323</v>
      </c>
      <c r="R7" s="183" t="s">
        <v>180</v>
      </c>
      <c r="S7" s="185"/>
      <c r="T7" s="195" t="s">
        <v>73</v>
      </c>
      <c r="U7" s="122"/>
    </row>
    <row r="8" spans="1:21" s="7" customFormat="1" ht="80.25" customHeight="1">
      <c r="A8" s="135" t="str">
        <f>'2-1（収支報告書　記載例）'!A40</f>
        <v>島根　１郎</v>
      </c>
      <c r="B8" s="147">
        <f>IF('2-1（収支報告書　記載例）'!B40="","",'2-1（収支報告書　記載例）'!B40)</f>
        <v>6456</v>
      </c>
      <c r="C8" s="153">
        <v>15000</v>
      </c>
      <c r="D8" s="153"/>
      <c r="E8" s="153"/>
      <c r="F8" s="165"/>
      <c r="G8" s="165"/>
      <c r="H8" s="165"/>
      <c r="I8" s="165"/>
      <c r="J8" s="165">
        <v>3000</v>
      </c>
      <c r="K8" s="165">
        <v>9000</v>
      </c>
      <c r="L8" s="165">
        <v>9000</v>
      </c>
      <c r="M8" s="165">
        <v>6000</v>
      </c>
      <c r="N8" s="165">
        <v>9000</v>
      </c>
      <c r="O8" s="165"/>
      <c r="P8" s="165"/>
      <c r="Q8" s="178">
        <f t="shared" ref="Q8:Q31" si="0">IF(SUM(D8:P8)=0,"",SUM(D8:P8))</f>
        <v>36000</v>
      </c>
      <c r="R8" s="178">
        <f t="shared" ref="R8:R31" si="1">IF(SUM(B8,C8,Q8)=0,"",SUM(B8,C8,Q8))</f>
        <v>57456</v>
      </c>
      <c r="S8" s="204"/>
      <c r="T8" s="196">
        <f t="shared" ref="T8:T44" si="2">IF(SUM(C8,Q8)=0,"",(SUM(C8,Q8)))</f>
        <v>51000</v>
      </c>
      <c r="U8" s="7"/>
    </row>
    <row r="9" spans="1:21" s="7" customFormat="1" ht="80.25" customHeight="1">
      <c r="A9" s="136" t="str">
        <f>'2-1（収支報告書　記載例）'!A41</f>
        <v>島根　２郎</v>
      </c>
      <c r="B9" s="148">
        <f>IF('2-1（収支報告書　記載例）'!B41="","",'2-1（収支報告書　記載例）'!B41)</f>
        <v>39060</v>
      </c>
      <c r="C9" s="154">
        <v>12000</v>
      </c>
      <c r="D9" s="154"/>
      <c r="E9" s="154"/>
      <c r="F9" s="166">
        <v>4500</v>
      </c>
      <c r="G9" s="166">
        <v>4500</v>
      </c>
      <c r="H9" s="166"/>
      <c r="I9" s="166"/>
      <c r="J9" s="166">
        <v>3000</v>
      </c>
      <c r="K9" s="166"/>
      <c r="L9" s="166">
        <v>9000</v>
      </c>
      <c r="M9" s="166">
        <v>6000</v>
      </c>
      <c r="N9" s="166">
        <v>9000</v>
      </c>
      <c r="O9" s="166"/>
      <c r="P9" s="166"/>
      <c r="Q9" s="179">
        <f t="shared" si="0"/>
        <v>36000</v>
      </c>
      <c r="R9" s="179">
        <f t="shared" si="1"/>
        <v>87060</v>
      </c>
      <c r="S9" s="205"/>
      <c r="T9" s="197">
        <f t="shared" si="2"/>
        <v>48000</v>
      </c>
      <c r="U9" s="7"/>
    </row>
    <row r="10" spans="1:21" s="7" customFormat="1" ht="80.25" customHeight="1">
      <c r="A10" s="136" t="str">
        <f>'2-1（収支報告書　記載例）'!A42</f>
        <v>島根　３郎</v>
      </c>
      <c r="B10" s="148">
        <f>IF('2-1（収支報告書　記載例）'!B42="","",'2-1（収支報告書　記載例）'!B42)</f>
        <v>11648</v>
      </c>
      <c r="C10" s="154">
        <v>6000</v>
      </c>
      <c r="D10" s="154"/>
      <c r="E10" s="154"/>
      <c r="F10" s="166"/>
      <c r="G10" s="166"/>
      <c r="H10" s="166"/>
      <c r="I10" s="166"/>
      <c r="J10" s="166">
        <v>3000</v>
      </c>
      <c r="K10" s="166">
        <v>9000</v>
      </c>
      <c r="L10" s="166"/>
      <c r="M10" s="166">
        <v>6000</v>
      </c>
      <c r="N10" s="166">
        <v>9000</v>
      </c>
      <c r="O10" s="166"/>
      <c r="P10" s="166"/>
      <c r="Q10" s="179">
        <f t="shared" si="0"/>
        <v>27000</v>
      </c>
      <c r="R10" s="179">
        <f t="shared" si="1"/>
        <v>44648</v>
      </c>
      <c r="S10" s="205"/>
      <c r="T10" s="197">
        <f t="shared" si="2"/>
        <v>33000</v>
      </c>
      <c r="U10" s="7"/>
    </row>
    <row r="11" spans="1:21" s="7" customFormat="1" ht="80.25" customHeight="1">
      <c r="A11" s="136" t="str">
        <f>'2-1（収支報告書　記載例）'!A43</f>
        <v>島根　４郎</v>
      </c>
      <c r="B11" s="148">
        <f>IF('2-1（収支報告書　記載例）'!B43="","",'2-1（収支報告書　記載例）'!B43)</f>
        <v>102388</v>
      </c>
      <c r="C11" s="154">
        <v>6000</v>
      </c>
      <c r="D11" s="154"/>
      <c r="E11" s="154">
        <v>3000</v>
      </c>
      <c r="F11" s="166"/>
      <c r="G11" s="166"/>
      <c r="H11" s="166">
        <v>5250</v>
      </c>
      <c r="I11" s="166">
        <v>5250</v>
      </c>
      <c r="J11" s="166"/>
      <c r="K11" s="166">
        <v>9000</v>
      </c>
      <c r="L11" s="166">
        <v>9000</v>
      </c>
      <c r="M11" s="166">
        <v>6000</v>
      </c>
      <c r="N11" s="166">
        <v>9000</v>
      </c>
      <c r="O11" s="166"/>
      <c r="P11" s="166"/>
      <c r="Q11" s="179">
        <f t="shared" si="0"/>
        <v>46500</v>
      </c>
      <c r="R11" s="179">
        <f t="shared" si="1"/>
        <v>154888</v>
      </c>
      <c r="S11" s="205"/>
      <c r="T11" s="197">
        <f t="shared" si="2"/>
        <v>52500</v>
      </c>
      <c r="U11" s="7"/>
    </row>
    <row r="12" spans="1:21" s="7" customFormat="1" ht="80.25" customHeight="1">
      <c r="A12" s="136" t="str">
        <f>'2-1（収支報告書　記載例）'!A44</f>
        <v>島根　５郎</v>
      </c>
      <c r="B12" s="148">
        <f>IF('2-1（収支報告書　記載例）'!B44="","",'2-1（収支報告書　記載例）'!B44)</f>
        <v>23144</v>
      </c>
      <c r="C12" s="154">
        <v>6000</v>
      </c>
      <c r="D12" s="154"/>
      <c r="E12" s="154"/>
      <c r="F12" s="166"/>
      <c r="G12" s="166"/>
      <c r="H12" s="166"/>
      <c r="I12" s="166"/>
      <c r="J12" s="166"/>
      <c r="K12" s="166">
        <v>18000</v>
      </c>
      <c r="L12" s="166">
        <v>18000</v>
      </c>
      <c r="M12" s="166"/>
      <c r="N12" s="166"/>
      <c r="O12" s="166"/>
      <c r="P12" s="166"/>
      <c r="Q12" s="179">
        <f t="shared" si="0"/>
        <v>36000</v>
      </c>
      <c r="R12" s="179">
        <f t="shared" si="1"/>
        <v>65144</v>
      </c>
      <c r="S12" s="205"/>
      <c r="T12" s="197">
        <f t="shared" si="2"/>
        <v>42000</v>
      </c>
      <c r="U12" s="7"/>
    </row>
    <row r="13" spans="1:21" s="7" customFormat="1" ht="80.25" customHeight="1">
      <c r="A13" s="136" t="str">
        <f>'2-1（収支報告書　記載例）'!A45</f>
        <v>島根　６郎</v>
      </c>
      <c r="B13" s="148">
        <f>IF('2-1（収支報告書　記載例）'!B45="","",'2-1（収支報告書　記載例）'!B45)</f>
        <v>4447</v>
      </c>
      <c r="C13" s="154"/>
      <c r="D13" s="154"/>
      <c r="E13" s="154"/>
      <c r="F13" s="166"/>
      <c r="G13" s="166"/>
      <c r="H13" s="166"/>
      <c r="I13" s="166"/>
      <c r="J13" s="166"/>
      <c r="K13" s="166"/>
      <c r="L13" s="166"/>
      <c r="M13" s="166"/>
      <c r="N13" s="166"/>
      <c r="O13" s="166"/>
      <c r="P13" s="166"/>
      <c r="Q13" s="179" t="str">
        <f t="shared" si="0"/>
        <v/>
      </c>
      <c r="R13" s="179">
        <f t="shared" si="1"/>
        <v>4447</v>
      </c>
      <c r="S13" s="205"/>
      <c r="T13" s="197" t="str">
        <f t="shared" si="2"/>
        <v/>
      </c>
      <c r="U13" s="7"/>
    </row>
    <row r="14" spans="1:21" s="7" customFormat="1" ht="80.25" customHeight="1">
      <c r="A14" s="136" t="str">
        <f>'2-1（収支報告書　記載例）'!A46</f>
        <v>島根　７郎</v>
      </c>
      <c r="B14" s="148">
        <f>IF('2-1（収支報告書　記載例）'!B46="","",'2-1（収支報告書　記載例）'!B46)</f>
        <v>3252</v>
      </c>
      <c r="C14" s="154"/>
      <c r="D14" s="154"/>
      <c r="E14" s="154"/>
      <c r="F14" s="166"/>
      <c r="G14" s="166"/>
      <c r="H14" s="166"/>
      <c r="I14" s="166"/>
      <c r="J14" s="166"/>
      <c r="K14" s="166"/>
      <c r="L14" s="166"/>
      <c r="M14" s="166"/>
      <c r="N14" s="166"/>
      <c r="O14" s="166"/>
      <c r="P14" s="166"/>
      <c r="Q14" s="179" t="str">
        <f t="shared" si="0"/>
        <v/>
      </c>
      <c r="R14" s="179">
        <f t="shared" si="1"/>
        <v>3252</v>
      </c>
      <c r="S14" s="205"/>
      <c r="T14" s="197" t="str">
        <f t="shared" si="2"/>
        <v/>
      </c>
      <c r="U14" s="7"/>
    </row>
    <row r="15" spans="1:21" s="7" customFormat="1" ht="80.25" customHeight="1">
      <c r="A15" s="136" t="str">
        <f>'2-1（収支報告書　記載例）'!A47</f>
        <v>島根　８郎</v>
      </c>
      <c r="B15" s="148">
        <f>IF('2-1（収支報告書　記載例）'!B47="","",'2-1（収支報告書　記載例）'!B47)</f>
        <v>17546</v>
      </c>
      <c r="C15" s="154"/>
      <c r="D15" s="154"/>
      <c r="E15" s="154"/>
      <c r="F15" s="166"/>
      <c r="G15" s="166"/>
      <c r="H15" s="166"/>
      <c r="I15" s="166"/>
      <c r="J15" s="166"/>
      <c r="K15" s="166"/>
      <c r="L15" s="166"/>
      <c r="M15" s="166"/>
      <c r="N15" s="166"/>
      <c r="O15" s="166"/>
      <c r="P15" s="166"/>
      <c r="Q15" s="179" t="str">
        <f t="shared" si="0"/>
        <v/>
      </c>
      <c r="R15" s="179">
        <f t="shared" si="1"/>
        <v>17546</v>
      </c>
      <c r="S15" s="205"/>
      <c r="T15" s="197" t="str">
        <f t="shared" si="2"/>
        <v/>
      </c>
      <c r="U15" s="7"/>
    </row>
    <row r="16" spans="1:21" s="7" customFormat="1" ht="80.25" customHeight="1">
      <c r="A16" s="136" t="str">
        <f>'2-1（収支報告書　記載例）'!A48</f>
        <v>島根　９郎</v>
      </c>
      <c r="B16" s="148">
        <f>IF('2-1（収支報告書　記載例）'!B48="","",'2-1（収支報告書　記載例）'!B48)</f>
        <v>40424</v>
      </c>
      <c r="C16" s="154"/>
      <c r="D16" s="154"/>
      <c r="E16" s="154"/>
      <c r="F16" s="166"/>
      <c r="G16" s="166"/>
      <c r="H16" s="166"/>
      <c r="I16" s="166"/>
      <c r="J16" s="166">
        <v>3000</v>
      </c>
      <c r="K16" s="166"/>
      <c r="L16" s="166"/>
      <c r="M16" s="166"/>
      <c r="N16" s="166"/>
      <c r="O16" s="166"/>
      <c r="P16" s="166"/>
      <c r="Q16" s="179">
        <f t="shared" si="0"/>
        <v>3000</v>
      </c>
      <c r="R16" s="179">
        <f t="shared" si="1"/>
        <v>43424</v>
      </c>
      <c r="S16" s="205"/>
      <c r="T16" s="197">
        <f t="shared" si="2"/>
        <v>3000</v>
      </c>
      <c r="U16" s="7"/>
    </row>
    <row r="17" spans="1:21" s="7" customFormat="1" ht="80.25" customHeight="1">
      <c r="A17" s="136" t="str">
        <f>'2-1（収支報告書　記載例）'!A49</f>
        <v>島根　１０郎</v>
      </c>
      <c r="B17" s="148">
        <f>IF('2-1（収支報告書　記載例）'!B49="","",'2-1（収支報告書　記載例）'!B49)</f>
        <v>41556</v>
      </c>
      <c r="C17" s="154"/>
      <c r="D17" s="154">
        <v>3000</v>
      </c>
      <c r="E17" s="154"/>
      <c r="F17" s="166"/>
      <c r="G17" s="166"/>
      <c r="H17" s="166"/>
      <c r="I17" s="166"/>
      <c r="J17" s="166">
        <v>3000</v>
      </c>
      <c r="K17" s="166"/>
      <c r="L17" s="166"/>
      <c r="M17" s="166"/>
      <c r="N17" s="166"/>
      <c r="O17" s="166"/>
      <c r="P17" s="166"/>
      <c r="Q17" s="179">
        <f t="shared" si="0"/>
        <v>6000</v>
      </c>
      <c r="R17" s="179">
        <f t="shared" si="1"/>
        <v>47556</v>
      </c>
      <c r="S17" s="205"/>
      <c r="T17" s="197">
        <f t="shared" si="2"/>
        <v>6000</v>
      </c>
      <c r="U17" s="7"/>
    </row>
    <row r="18" spans="1:21" s="7" customFormat="1" ht="80.25" customHeight="1">
      <c r="A18" s="136" t="str">
        <f>'2-1（収支報告書　記載例）'!A50</f>
        <v>島根　１１郎</v>
      </c>
      <c r="B18" s="148">
        <f>IF('2-1（収支報告書　記載例）'!B50="","",'2-1（収支報告書　記載例）'!B50)</f>
        <v>111493</v>
      </c>
      <c r="C18" s="154"/>
      <c r="D18" s="154"/>
      <c r="E18" s="154">
        <v>3000</v>
      </c>
      <c r="F18" s="166"/>
      <c r="G18" s="166"/>
      <c r="H18" s="166">
        <v>5250</v>
      </c>
      <c r="I18" s="166">
        <v>5250</v>
      </c>
      <c r="J18" s="166">
        <v>3000</v>
      </c>
      <c r="K18" s="166"/>
      <c r="L18" s="166"/>
      <c r="M18" s="166"/>
      <c r="N18" s="166"/>
      <c r="O18" s="166"/>
      <c r="P18" s="166"/>
      <c r="Q18" s="179">
        <f t="shared" si="0"/>
        <v>16500</v>
      </c>
      <c r="R18" s="179">
        <f t="shared" si="1"/>
        <v>127993</v>
      </c>
      <c r="S18" s="205"/>
      <c r="T18" s="197">
        <f t="shared" si="2"/>
        <v>16500</v>
      </c>
      <c r="U18" s="7"/>
    </row>
    <row r="19" spans="1:21" s="7" customFormat="1" ht="80.25" customHeight="1">
      <c r="A19" s="136" t="str">
        <f>'2-1（収支報告書　記載例）'!A51</f>
        <v>島根　１２郎</v>
      </c>
      <c r="B19" s="148">
        <f>IF('2-1（収支報告書　記載例）'!B51="","",'2-1（収支報告書　記載例）'!B51)</f>
        <v>231995</v>
      </c>
      <c r="C19" s="154"/>
      <c r="D19" s="154"/>
      <c r="E19" s="154">
        <v>6000</v>
      </c>
      <c r="F19" s="166">
        <v>9000</v>
      </c>
      <c r="G19" s="166">
        <v>9000</v>
      </c>
      <c r="H19" s="166">
        <v>5250</v>
      </c>
      <c r="I19" s="166">
        <v>10500</v>
      </c>
      <c r="J19" s="166">
        <v>3000</v>
      </c>
      <c r="K19" s="166"/>
      <c r="L19" s="166"/>
      <c r="M19" s="166"/>
      <c r="N19" s="166"/>
      <c r="O19" s="166"/>
      <c r="P19" s="166"/>
      <c r="Q19" s="179">
        <f t="shared" si="0"/>
        <v>42750</v>
      </c>
      <c r="R19" s="179">
        <f t="shared" si="1"/>
        <v>274745</v>
      </c>
      <c r="S19" s="205"/>
      <c r="T19" s="197">
        <f t="shared" si="2"/>
        <v>42750</v>
      </c>
      <c r="U19" s="7"/>
    </row>
    <row r="20" spans="1:21" s="7" customFormat="1" ht="80.25" customHeight="1">
      <c r="A20" s="136" t="str">
        <f>'2-1（収支報告書　記載例）'!A52</f>
        <v>島根　１３郎</v>
      </c>
      <c r="B20" s="148">
        <f>IF('2-1（収支報告書　記載例）'!B52="","",'2-1（収支報告書　記載例）'!B52)</f>
        <v>98125</v>
      </c>
      <c r="C20" s="154"/>
      <c r="D20" s="154"/>
      <c r="E20" s="154"/>
      <c r="F20" s="166"/>
      <c r="G20" s="166"/>
      <c r="H20" s="166"/>
      <c r="I20" s="166"/>
      <c r="J20" s="166"/>
      <c r="K20" s="166"/>
      <c r="L20" s="166"/>
      <c r="M20" s="166">
        <v>6000</v>
      </c>
      <c r="N20" s="166">
        <v>9000</v>
      </c>
      <c r="O20" s="166">
        <v>6000</v>
      </c>
      <c r="P20" s="166">
        <v>9000</v>
      </c>
      <c r="Q20" s="179">
        <f t="shared" si="0"/>
        <v>30000</v>
      </c>
      <c r="R20" s="179">
        <f t="shared" si="1"/>
        <v>128125</v>
      </c>
      <c r="S20" s="205"/>
      <c r="T20" s="197">
        <f t="shared" si="2"/>
        <v>30000</v>
      </c>
      <c r="U20" s="7"/>
    </row>
    <row r="21" spans="1:21" s="7" customFormat="1" ht="80.25" customHeight="1">
      <c r="A21" s="136" t="str">
        <f>'2-1（収支報告書　記載例）'!A53</f>
        <v>島根　１４郎</v>
      </c>
      <c r="B21" s="148">
        <f>IF('2-1（収支報告書　記載例）'!B53="","",'2-1（収支報告書　記載例）'!B53)</f>
        <v>91875</v>
      </c>
      <c r="C21" s="154"/>
      <c r="D21" s="154"/>
      <c r="E21" s="154"/>
      <c r="F21" s="166"/>
      <c r="G21" s="166"/>
      <c r="H21" s="166"/>
      <c r="I21" s="166"/>
      <c r="J21" s="166"/>
      <c r="K21" s="166"/>
      <c r="L21" s="166"/>
      <c r="M21" s="166">
        <v>6000</v>
      </c>
      <c r="N21" s="166">
        <v>9000</v>
      </c>
      <c r="O21" s="166">
        <v>6000</v>
      </c>
      <c r="P21" s="166">
        <v>9000</v>
      </c>
      <c r="Q21" s="179">
        <f t="shared" si="0"/>
        <v>30000</v>
      </c>
      <c r="R21" s="179">
        <f t="shared" si="1"/>
        <v>121875</v>
      </c>
      <c r="S21" s="205"/>
      <c r="T21" s="197">
        <f t="shared" si="2"/>
        <v>30000</v>
      </c>
      <c r="U21" s="7"/>
    </row>
    <row r="22" spans="1:21" s="7" customFormat="1" ht="80.25" customHeight="1">
      <c r="A22" s="136">
        <f>'2-1（収支報告書　記載例）'!A54</f>
        <v>0</v>
      </c>
      <c r="B22" s="149" t="str">
        <f>IF('2-1（収支報告書　記載例）'!B54="","",'2-1（収支報告書　記載例）'!B54)</f>
        <v/>
      </c>
      <c r="C22" s="155"/>
      <c r="D22" s="154"/>
      <c r="E22" s="154"/>
      <c r="F22" s="166"/>
      <c r="G22" s="166"/>
      <c r="H22" s="166"/>
      <c r="I22" s="166"/>
      <c r="J22" s="166"/>
      <c r="K22" s="166"/>
      <c r="L22" s="166"/>
      <c r="M22" s="166"/>
      <c r="N22" s="166"/>
      <c r="O22" s="166"/>
      <c r="P22" s="166"/>
      <c r="Q22" s="179" t="str">
        <f t="shared" si="0"/>
        <v/>
      </c>
      <c r="R22" s="179" t="str">
        <f t="shared" si="1"/>
        <v/>
      </c>
      <c r="S22" s="205"/>
      <c r="T22" s="197" t="str">
        <f t="shared" si="2"/>
        <v/>
      </c>
      <c r="U22" s="7"/>
    </row>
    <row r="23" spans="1:21" s="7" customFormat="1" ht="80.25" customHeight="1">
      <c r="A23" s="136">
        <f>'2-1（収支報告書　記載例）'!A55</f>
        <v>0</v>
      </c>
      <c r="B23" s="149" t="str">
        <f>IF('2-1（収支報告書　記載例）'!B55="","",'2-1（収支報告書　記載例）'!B55)</f>
        <v/>
      </c>
      <c r="C23" s="155"/>
      <c r="D23" s="154"/>
      <c r="E23" s="154"/>
      <c r="F23" s="166"/>
      <c r="G23" s="166"/>
      <c r="H23" s="166"/>
      <c r="I23" s="166"/>
      <c r="J23" s="166"/>
      <c r="K23" s="166"/>
      <c r="L23" s="166"/>
      <c r="M23" s="166"/>
      <c r="N23" s="166"/>
      <c r="O23" s="166"/>
      <c r="P23" s="166"/>
      <c r="Q23" s="179" t="str">
        <f t="shared" si="0"/>
        <v/>
      </c>
      <c r="R23" s="179" t="str">
        <f t="shared" si="1"/>
        <v/>
      </c>
      <c r="S23" s="205"/>
      <c r="T23" s="197" t="str">
        <f t="shared" si="2"/>
        <v/>
      </c>
      <c r="U23" s="7"/>
    </row>
    <row r="24" spans="1:21" s="7" customFormat="1" ht="80.25" customHeight="1">
      <c r="A24" s="136">
        <f>'2-1（収支報告書　記載例）'!A56</f>
        <v>0</v>
      </c>
      <c r="B24" s="149" t="str">
        <f>IF('2-1（収支報告書　記載例）'!B56="","",'2-1（収支報告書　記載例）'!B56)</f>
        <v/>
      </c>
      <c r="C24" s="155"/>
      <c r="D24" s="154"/>
      <c r="E24" s="154"/>
      <c r="F24" s="166"/>
      <c r="G24" s="166"/>
      <c r="H24" s="166"/>
      <c r="I24" s="166"/>
      <c r="J24" s="166"/>
      <c r="K24" s="166"/>
      <c r="L24" s="166"/>
      <c r="M24" s="166"/>
      <c r="N24" s="166"/>
      <c r="O24" s="166"/>
      <c r="P24" s="166"/>
      <c r="Q24" s="179" t="str">
        <f t="shared" si="0"/>
        <v/>
      </c>
      <c r="R24" s="179" t="str">
        <f t="shared" si="1"/>
        <v/>
      </c>
      <c r="S24" s="205"/>
      <c r="T24" s="197" t="str">
        <f t="shared" si="2"/>
        <v/>
      </c>
      <c r="U24" s="7"/>
    </row>
    <row r="25" spans="1:21" s="7" customFormat="1" ht="80.25" customHeight="1">
      <c r="A25" s="136">
        <f>'2-1（収支報告書　記載例）'!A57</f>
        <v>0</v>
      </c>
      <c r="B25" s="149" t="str">
        <f>IF('2-1（収支報告書　記載例）'!B57="","",'2-1（収支報告書　記載例）'!B57)</f>
        <v/>
      </c>
      <c r="C25" s="155"/>
      <c r="D25" s="154"/>
      <c r="E25" s="154"/>
      <c r="F25" s="166"/>
      <c r="G25" s="166"/>
      <c r="H25" s="166"/>
      <c r="I25" s="166"/>
      <c r="J25" s="166"/>
      <c r="K25" s="166"/>
      <c r="L25" s="166"/>
      <c r="M25" s="166"/>
      <c r="N25" s="166"/>
      <c r="O25" s="166"/>
      <c r="P25" s="166"/>
      <c r="Q25" s="179" t="str">
        <f t="shared" si="0"/>
        <v/>
      </c>
      <c r="R25" s="179" t="str">
        <f t="shared" si="1"/>
        <v/>
      </c>
      <c r="S25" s="205"/>
      <c r="T25" s="197" t="str">
        <f t="shared" si="2"/>
        <v/>
      </c>
      <c r="U25" s="7"/>
    </row>
    <row r="26" spans="1:21" s="7" customFormat="1" ht="80.25" customHeight="1">
      <c r="A26" s="136">
        <f>'2-1（収支報告書　記載例）'!A58</f>
        <v>0</v>
      </c>
      <c r="B26" s="149" t="str">
        <f>IF('2-1（収支報告書　記載例）'!B58="","",'2-1（収支報告書　記載例）'!B58)</f>
        <v/>
      </c>
      <c r="C26" s="155"/>
      <c r="D26" s="154"/>
      <c r="E26" s="154"/>
      <c r="F26" s="166"/>
      <c r="G26" s="166"/>
      <c r="H26" s="166"/>
      <c r="I26" s="166"/>
      <c r="J26" s="166"/>
      <c r="K26" s="166"/>
      <c r="L26" s="166"/>
      <c r="M26" s="166"/>
      <c r="N26" s="166"/>
      <c r="O26" s="166"/>
      <c r="P26" s="166"/>
      <c r="Q26" s="179" t="str">
        <f t="shared" si="0"/>
        <v/>
      </c>
      <c r="R26" s="179" t="str">
        <f t="shared" si="1"/>
        <v/>
      </c>
      <c r="S26" s="205"/>
      <c r="T26" s="197" t="str">
        <f t="shared" si="2"/>
        <v/>
      </c>
      <c r="U26" s="7"/>
    </row>
    <row r="27" spans="1:21" s="7" customFormat="1" ht="80.25" customHeight="1">
      <c r="A27" s="136">
        <f>'2-1（収支報告書　記載例）'!A59</f>
        <v>0</v>
      </c>
      <c r="B27" s="149" t="str">
        <f>IF('2-1（収支報告書　記載例）'!B59="","",'2-1（収支報告書　記載例）'!B59)</f>
        <v/>
      </c>
      <c r="C27" s="155"/>
      <c r="D27" s="154"/>
      <c r="E27" s="154"/>
      <c r="F27" s="166"/>
      <c r="G27" s="166"/>
      <c r="H27" s="166"/>
      <c r="I27" s="166"/>
      <c r="J27" s="166"/>
      <c r="K27" s="166"/>
      <c r="L27" s="166"/>
      <c r="M27" s="166"/>
      <c r="N27" s="166"/>
      <c r="O27" s="166"/>
      <c r="P27" s="166"/>
      <c r="Q27" s="179" t="str">
        <f t="shared" si="0"/>
        <v/>
      </c>
      <c r="R27" s="179" t="str">
        <f t="shared" si="1"/>
        <v/>
      </c>
      <c r="S27" s="205"/>
      <c r="T27" s="197" t="str">
        <f t="shared" si="2"/>
        <v/>
      </c>
      <c r="U27" s="7"/>
    </row>
    <row r="28" spans="1:21" s="7" customFormat="1" ht="80.25" customHeight="1">
      <c r="A28" s="136">
        <f>'2-1（収支報告書　記載例）'!A60</f>
        <v>0</v>
      </c>
      <c r="B28" s="149" t="str">
        <f>IF('2-1（収支報告書　記載例）'!B60="","",'2-1（収支報告書　記載例）'!B60)</f>
        <v/>
      </c>
      <c r="C28" s="155"/>
      <c r="D28" s="155"/>
      <c r="E28" s="155"/>
      <c r="F28" s="166"/>
      <c r="G28" s="166"/>
      <c r="H28" s="166"/>
      <c r="I28" s="166"/>
      <c r="J28" s="166"/>
      <c r="K28" s="166"/>
      <c r="L28" s="166"/>
      <c r="M28" s="166"/>
      <c r="N28" s="166"/>
      <c r="O28" s="166"/>
      <c r="P28" s="166"/>
      <c r="Q28" s="179" t="str">
        <f t="shared" si="0"/>
        <v/>
      </c>
      <c r="R28" s="179" t="str">
        <f t="shared" si="1"/>
        <v/>
      </c>
      <c r="S28" s="205"/>
      <c r="T28" s="197" t="str">
        <f t="shared" si="2"/>
        <v/>
      </c>
      <c r="U28" s="7"/>
    </row>
    <row r="29" spans="1:21" s="7" customFormat="1" ht="80.25" customHeight="1">
      <c r="A29" s="136">
        <f>'2-1（収支報告書　記載例）'!A61</f>
        <v>0</v>
      </c>
      <c r="B29" s="149" t="str">
        <f>IF('2-1（収支報告書　記載例）'!B61="","",'2-1（収支報告書　記載例）'!B61)</f>
        <v/>
      </c>
      <c r="C29" s="155"/>
      <c r="D29" s="155"/>
      <c r="E29" s="155"/>
      <c r="F29" s="166"/>
      <c r="G29" s="166"/>
      <c r="H29" s="166"/>
      <c r="I29" s="166"/>
      <c r="J29" s="166"/>
      <c r="K29" s="166"/>
      <c r="L29" s="166"/>
      <c r="M29" s="166"/>
      <c r="N29" s="166"/>
      <c r="O29" s="166"/>
      <c r="P29" s="166"/>
      <c r="Q29" s="179" t="str">
        <f t="shared" si="0"/>
        <v/>
      </c>
      <c r="R29" s="179" t="str">
        <f t="shared" si="1"/>
        <v/>
      </c>
      <c r="S29" s="205"/>
      <c r="T29" s="197" t="str">
        <f t="shared" si="2"/>
        <v/>
      </c>
      <c r="U29" s="7"/>
    </row>
    <row r="30" spans="1:21" s="7" customFormat="1" ht="80.25" customHeight="1">
      <c r="A30" s="136">
        <f>'2-1（収支報告書　記載例）'!A62</f>
        <v>0</v>
      </c>
      <c r="B30" s="149" t="str">
        <f>IF('2-1（収支報告書　記載例）'!B62="","",'2-1（収支報告書　記載例）'!B62)</f>
        <v/>
      </c>
      <c r="C30" s="155"/>
      <c r="D30" s="155"/>
      <c r="E30" s="155"/>
      <c r="F30" s="166"/>
      <c r="G30" s="166"/>
      <c r="H30" s="166"/>
      <c r="I30" s="166"/>
      <c r="J30" s="166"/>
      <c r="K30" s="166"/>
      <c r="L30" s="166"/>
      <c r="M30" s="166"/>
      <c r="N30" s="166"/>
      <c r="O30" s="166"/>
      <c r="P30" s="166"/>
      <c r="Q30" s="179" t="str">
        <f t="shared" si="0"/>
        <v/>
      </c>
      <c r="R30" s="179" t="str">
        <f t="shared" si="1"/>
        <v/>
      </c>
      <c r="S30" s="205"/>
      <c r="T30" s="197" t="str">
        <f t="shared" si="2"/>
        <v/>
      </c>
      <c r="U30" s="7"/>
    </row>
    <row r="31" spans="1:21" s="7" customFormat="1" ht="80.25" customHeight="1">
      <c r="A31" s="136">
        <f>'2-1（収支報告書　記載例）'!A63</f>
        <v>0</v>
      </c>
      <c r="B31" s="149" t="str">
        <f>IF('2-1（収支報告書　記載例）'!B63="","",'2-1（収支報告書　記載例）'!B63)</f>
        <v/>
      </c>
      <c r="C31" s="155"/>
      <c r="D31" s="155"/>
      <c r="E31" s="155"/>
      <c r="F31" s="166"/>
      <c r="G31" s="166"/>
      <c r="H31" s="166"/>
      <c r="I31" s="166"/>
      <c r="J31" s="166"/>
      <c r="K31" s="166"/>
      <c r="L31" s="166"/>
      <c r="M31" s="166"/>
      <c r="N31" s="166"/>
      <c r="O31" s="166"/>
      <c r="P31" s="166"/>
      <c r="Q31" s="179" t="str">
        <f t="shared" si="0"/>
        <v/>
      </c>
      <c r="R31" s="179" t="str">
        <f t="shared" si="1"/>
        <v/>
      </c>
      <c r="S31" s="205"/>
      <c r="T31" s="197" t="str">
        <f t="shared" si="2"/>
        <v/>
      </c>
      <c r="U31" s="7"/>
    </row>
    <row r="32" spans="1:21" s="7" customFormat="1" ht="80.25" customHeight="1">
      <c r="A32" s="136">
        <f>'2-1（収支報告書　記載例）'!A64</f>
        <v>0</v>
      </c>
      <c r="B32" s="149" t="str">
        <f>IF('2-1（収支報告書　記載例）'!B64="","",'2-1（収支報告書　記載例）'!B64)</f>
        <v/>
      </c>
      <c r="C32" s="155"/>
      <c r="D32" s="155"/>
      <c r="E32" s="155"/>
      <c r="F32" s="166"/>
      <c r="G32" s="166"/>
      <c r="H32" s="166"/>
      <c r="I32" s="166"/>
      <c r="J32" s="166"/>
      <c r="K32" s="166"/>
      <c r="L32" s="166"/>
      <c r="M32" s="166"/>
      <c r="N32" s="166"/>
      <c r="O32" s="166"/>
      <c r="P32" s="166"/>
      <c r="Q32" s="179"/>
      <c r="R32" s="179"/>
      <c r="S32" s="205"/>
      <c r="T32" s="197" t="str">
        <f t="shared" si="2"/>
        <v/>
      </c>
      <c r="U32" s="7"/>
    </row>
    <row r="33" spans="1:21" s="7" customFormat="1" ht="80.25" customHeight="1">
      <c r="A33" s="136">
        <f>'2-1（収支報告書　記載例）'!A65</f>
        <v>0</v>
      </c>
      <c r="B33" s="149" t="str">
        <f>IF('2-1（収支報告書　記載例）'!B65="","",'2-1（収支報告書　記載例）'!B65)</f>
        <v/>
      </c>
      <c r="C33" s="155"/>
      <c r="D33" s="155"/>
      <c r="E33" s="155"/>
      <c r="F33" s="166"/>
      <c r="G33" s="166"/>
      <c r="H33" s="166"/>
      <c r="I33" s="166"/>
      <c r="J33" s="166"/>
      <c r="K33" s="166"/>
      <c r="L33" s="166"/>
      <c r="M33" s="166"/>
      <c r="N33" s="166"/>
      <c r="O33" s="166"/>
      <c r="P33" s="166"/>
      <c r="Q33" s="179"/>
      <c r="R33" s="179"/>
      <c r="S33" s="205"/>
      <c r="T33" s="197" t="str">
        <f t="shared" si="2"/>
        <v/>
      </c>
      <c r="U33" s="7"/>
    </row>
    <row r="34" spans="1:21" s="7" customFormat="1" ht="80.25" customHeight="1">
      <c r="A34" s="136">
        <f>'2-1（収支報告書　記載例）'!A66</f>
        <v>0</v>
      </c>
      <c r="B34" s="149" t="str">
        <f>IF('2-1（収支報告書　記載例）'!B66="","",'2-1（収支報告書　記載例）'!B66)</f>
        <v/>
      </c>
      <c r="C34" s="155"/>
      <c r="D34" s="155"/>
      <c r="E34" s="155"/>
      <c r="F34" s="166"/>
      <c r="G34" s="166"/>
      <c r="H34" s="166"/>
      <c r="I34" s="166"/>
      <c r="J34" s="166"/>
      <c r="K34" s="166"/>
      <c r="L34" s="166"/>
      <c r="M34" s="166"/>
      <c r="N34" s="166"/>
      <c r="O34" s="166"/>
      <c r="P34" s="166"/>
      <c r="Q34" s="179"/>
      <c r="R34" s="179"/>
      <c r="S34" s="205"/>
      <c r="T34" s="197" t="str">
        <f t="shared" si="2"/>
        <v/>
      </c>
      <c r="U34" s="7"/>
    </row>
    <row r="35" spans="1:21" s="7" customFormat="1" ht="80.25" customHeight="1">
      <c r="A35" s="136">
        <f>'2-1（収支報告書　記載例）'!A67</f>
        <v>0</v>
      </c>
      <c r="B35" s="149" t="str">
        <f>IF('2-1（収支報告書　記載例）'!B67="","",'2-1（収支報告書　記載例）'!B67)</f>
        <v/>
      </c>
      <c r="C35" s="155"/>
      <c r="D35" s="155"/>
      <c r="E35" s="155"/>
      <c r="F35" s="166"/>
      <c r="G35" s="166"/>
      <c r="H35" s="166"/>
      <c r="I35" s="166"/>
      <c r="J35" s="166"/>
      <c r="K35" s="166"/>
      <c r="L35" s="166"/>
      <c r="M35" s="166"/>
      <c r="N35" s="166"/>
      <c r="O35" s="166"/>
      <c r="P35" s="166"/>
      <c r="Q35" s="179"/>
      <c r="R35" s="179"/>
      <c r="S35" s="205"/>
      <c r="T35" s="197" t="str">
        <f t="shared" si="2"/>
        <v/>
      </c>
      <c r="U35" s="7"/>
    </row>
    <row r="36" spans="1:21" s="7" customFormat="1" ht="80.25" customHeight="1">
      <c r="A36" s="136">
        <f>'2-1（収支報告書　記載例）'!A68</f>
        <v>0</v>
      </c>
      <c r="B36" s="149" t="str">
        <f>IF('2-1（収支報告書　記載例）'!B68="","",'2-1（収支報告書　記載例）'!B68)</f>
        <v/>
      </c>
      <c r="C36" s="155"/>
      <c r="D36" s="155"/>
      <c r="E36" s="155"/>
      <c r="F36" s="166"/>
      <c r="G36" s="166"/>
      <c r="H36" s="166"/>
      <c r="I36" s="166"/>
      <c r="J36" s="166"/>
      <c r="K36" s="166"/>
      <c r="L36" s="166"/>
      <c r="M36" s="166"/>
      <c r="N36" s="166"/>
      <c r="O36" s="166"/>
      <c r="P36" s="166"/>
      <c r="Q36" s="179"/>
      <c r="R36" s="179"/>
      <c r="S36" s="205"/>
      <c r="T36" s="197" t="str">
        <f t="shared" si="2"/>
        <v/>
      </c>
      <c r="U36" s="7"/>
    </row>
    <row r="37" spans="1:21" s="7" customFormat="1" ht="80.25" customHeight="1">
      <c r="A37" s="136">
        <f>'2-1（収支報告書　記載例）'!A69</f>
        <v>0</v>
      </c>
      <c r="B37" s="149" t="str">
        <f>IF('2-1（収支報告書　記載例）'!B69="","",'2-1（収支報告書　記載例）'!B69)</f>
        <v/>
      </c>
      <c r="C37" s="155"/>
      <c r="D37" s="155"/>
      <c r="E37" s="155"/>
      <c r="F37" s="166"/>
      <c r="G37" s="166"/>
      <c r="H37" s="166"/>
      <c r="I37" s="166"/>
      <c r="J37" s="166"/>
      <c r="K37" s="166"/>
      <c r="L37" s="166"/>
      <c r="M37" s="166"/>
      <c r="N37" s="166"/>
      <c r="O37" s="166"/>
      <c r="P37" s="166"/>
      <c r="Q37" s="179"/>
      <c r="R37" s="179"/>
      <c r="S37" s="205"/>
      <c r="T37" s="197" t="str">
        <f t="shared" si="2"/>
        <v/>
      </c>
      <c r="U37" s="7"/>
    </row>
    <row r="38" spans="1:21" s="7" customFormat="1" ht="80.25" customHeight="1">
      <c r="A38" s="136">
        <f>'2-1（収支報告書　記載例）'!A70</f>
        <v>0</v>
      </c>
      <c r="B38" s="149" t="str">
        <f>IF('2-1（収支報告書　記載例）'!B70="","",'2-1（収支報告書　記載例）'!B70)</f>
        <v/>
      </c>
      <c r="C38" s="155"/>
      <c r="D38" s="155"/>
      <c r="E38" s="155"/>
      <c r="F38" s="166"/>
      <c r="G38" s="166"/>
      <c r="H38" s="166"/>
      <c r="I38" s="166"/>
      <c r="J38" s="166"/>
      <c r="K38" s="166"/>
      <c r="L38" s="166"/>
      <c r="M38" s="166"/>
      <c r="N38" s="166"/>
      <c r="O38" s="166"/>
      <c r="P38" s="166"/>
      <c r="Q38" s="179"/>
      <c r="R38" s="179"/>
      <c r="S38" s="205"/>
      <c r="T38" s="197" t="str">
        <f t="shared" si="2"/>
        <v/>
      </c>
      <c r="U38" s="7"/>
    </row>
    <row r="39" spans="1:21" s="7" customFormat="1" ht="80.25" customHeight="1">
      <c r="A39" s="136">
        <f>'2-1（収支報告書　記載例）'!A71</f>
        <v>0</v>
      </c>
      <c r="B39" s="149" t="str">
        <f>IF('2-1（収支報告書　記載例）'!B71="","",'2-1（収支報告書　記載例）'!B71)</f>
        <v/>
      </c>
      <c r="C39" s="155"/>
      <c r="D39" s="155"/>
      <c r="E39" s="155"/>
      <c r="F39" s="166"/>
      <c r="G39" s="166"/>
      <c r="H39" s="166"/>
      <c r="I39" s="166"/>
      <c r="J39" s="166"/>
      <c r="K39" s="166"/>
      <c r="L39" s="166"/>
      <c r="M39" s="166"/>
      <c r="N39" s="166"/>
      <c r="O39" s="166"/>
      <c r="P39" s="166"/>
      <c r="Q39" s="179"/>
      <c r="R39" s="179"/>
      <c r="S39" s="205"/>
      <c r="T39" s="197" t="str">
        <f t="shared" si="2"/>
        <v/>
      </c>
      <c r="U39" s="7"/>
    </row>
    <row r="40" spans="1:21" s="7" customFormat="1" ht="80.25" customHeight="1">
      <c r="A40" s="136">
        <f>'2-1（収支報告書　記載例）'!A72</f>
        <v>0</v>
      </c>
      <c r="B40" s="149" t="str">
        <f>IF('2-1（収支報告書　記載例）'!B72="","",'2-1（収支報告書　記載例）'!B72)</f>
        <v/>
      </c>
      <c r="C40" s="155"/>
      <c r="D40" s="155"/>
      <c r="E40" s="155"/>
      <c r="F40" s="166"/>
      <c r="G40" s="166"/>
      <c r="H40" s="166"/>
      <c r="I40" s="166"/>
      <c r="J40" s="166"/>
      <c r="K40" s="166"/>
      <c r="L40" s="166"/>
      <c r="M40" s="166"/>
      <c r="N40" s="166"/>
      <c r="O40" s="166"/>
      <c r="P40" s="166"/>
      <c r="Q40" s="179"/>
      <c r="R40" s="179"/>
      <c r="S40" s="205"/>
      <c r="T40" s="197" t="str">
        <f t="shared" si="2"/>
        <v/>
      </c>
      <c r="U40" s="7"/>
    </row>
    <row r="41" spans="1:21" s="7" customFormat="1" ht="80.25" customHeight="1">
      <c r="A41" s="136">
        <f>'2-1（収支報告書　記載例）'!A73</f>
        <v>0</v>
      </c>
      <c r="B41" s="149" t="str">
        <f>IF('2-1（収支報告書　記載例）'!B73="","",'2-1（収支報告書　記載例）'!B73)</f>
        <v/>
      </c>
      <c r="C41" s="155"/>
      <c r="D41" s="155"/>
      <c r="E41" s="155"/>
      <c r="F41" s="166"/>
      <c r="G41" s="166"/>
      <c r="H41" s="166"/>
      <c r="I41" s="166"/>
      <c r="J41" s="166"/>
      <c r="K41" s="166"/>
      <c r="L41" s="166"/>
      <c r="M41" s="166"/>
      <c r="N41" s="166"/>
      <c r="O41" s="166"/>
      <c r="P41" s="166"/>
      <c r="Q41" s="179"/>
      <c r="R41" s="179"/>
      <c r="S41" s="205"/>
      <c r="T41" s="197" t="str">
        <f t="shared" si="2"/>
        <v/>
      </c>
      <c r="U41" s="7"/>
    </row>
    <row r="42" spans="1:21" s="7" customFormat="1" ht="80.25" customHeight="1">
      <c r="A42" s="136">
        <f>'2-1（収支報告書　記載例）'!A74</f>
        <v>0</v>
      </c>
      <c r="B42" s="149" t="str">
        <f>IF('2-1（収支報告書　記載例）'!B74="","",'2-1（収支報告書　記載例）'!B74)</f>
        <v/>
      </c>
      <c r="C42" s="155"/>
      <c r="D42" s="155"/>
      <c r="E42" s="155"/>
      <c r="F42" s="166"/>
      <c r="G42" s="166"/>
      <c r="H42" s="166"/>
      <c r="I42" s="166"/>
      <c r="J42" s="166"/>
      <c r="K42" s="166"/>
      <c r="L42" s="166"/>
      <c r="M42" s="166"/>
      <c r="N42" s="166"/>
      <c r="O42" s="166"/>
      <c r="P42" s="166"/>
      <c r="Q42" s="179"/>
      <c r="R42" s="179"/>
      <c r="S42" s="205"/>
      <c r="T42" s="197" t="str">
        <f t="shared" si="2"/>
        <v/>
      </c>
      <c r="U42" s="7"/>
    </row>
    <row r="43" spans="1:21" s="7" customFormat="1" ht="80.25" customHeight="1">
      <c r="A43" s="136">
        <f>'2-1（収支報告書　記載例）'!A75</f>
        <v>0</v>
      </c>
      <c r="B43" s="149" t="str">
        <f>IF('2-1（収支報告書　記載例）'!B75="","",'2-1（収支報告書　記載例）'!B75)</f>
        <v/>
      </c>
      <c r="C43" s="155"/>
      <c r="D43" s="155"/>
      <c r="E43" s="155"/>
      <c r="F43" s="166"/>
      <c r="G43" s="166"/>
      <c r="H43" s="166"/>
      <c r="I43" s="166"/>
      <c r="J43" s="166"/>
      <c r="K43" s="166"/>
      <c r="L43" s="166"/>
      <c r="M43" s="166"/>
      <c r="N43" s="166"/>
      <c r="O43" s="166"/>
      <c r="P43" s="166"/>
      <c r="Q43" s="179"/>
      <c r="R43" s="179"/>
      <c r="S43" s="205"/>
      <c r="T43" s="197" t="str">
        <f t="shared" si="2"/>
        <v/>
      </c>
      <c r="U43" s="7"/>
    </row>
    <row r="44" spans="1:21" s="7" customFormat="1" ht="80.25" customHeight="1">
      <c r="A44" s="137">
        <f>'2-1（収支報告書　記載例）'!A76</f>
        <v>0</v>
      </c>
      <c r="B44" s="150" t="str">
        <f>IF('2-1（収支報告書　記載例）'!B76="","",'2-1（収支報告書　記載例）'!B76)</f>
        <v/>
      </c>
      <c r="C44" s="156"/>
      <c r="D44" s="156"/>
      <c r="E44" s="156"/>
      <c r="F44" s="167"/>
      <c r="G44" s="167"/>
      <c r="H44" s="167"/>
      <c r="I44" s="167"/>
      <c r="J44" s="167"/>
      <c r="K44" s="167"/>
      <c r="L44" s="167"/>
      <c r="M44" s="167"/>
      <c r="N44" s="167"/>
      <c r="O44" s="167"/>
      <c r="P44" s="167"/>
      <c r="Q44" s="180" t="str">
        <f>IF(SUM(D44:P44)=0,"",SUM(D44:P44))</f>
        <v/>
      </c>
      <c r="R44" s="180" t="str">
        <f>IF(SUM(B44,C44,Q44)=0,"",SUM(B44,C44,Q44))</f>
        <v/>
      </c>
      <c r="S44" s="206"/>
      <c r="T44" s="198" t="str">
        <f t="shared" si="2"/>
        <v/>
      </c>
      <c r="U44" s="7"/>
    </row>
    <row r="45" spans="1:21" ht="30" customHeight="1">
      <c r="A45" s="138" t="s">
        <v>182</v>
      </c>
      <c r="B45" s="151">
        <f t="shared" ref="B45:R45" si="3">IF(SUM(B8:B44)=0,"",SUM(B8:B44))</f>
        <v>823409</v>
      </c>
      <c r="C45" s="151">
        <f t="shared" si="3"/>
        <v>45000</v>
      </c>
      <c r="D45" s="151">
        <f t="shared" si="3"/>
        <v>3000</v>
      </c>
      <c r="E45" s="151">
        <f t="shared" si="3"/>
        <v>12000</v>
      </c>
      <c r="F45" s="151">
        <f t="shared" si="3"/>
        <v>13500</v>
      </c>
      <c r="G45" s="151">
        <f t="shared" si="3"/>
        <v>13500</v>
      </c>
      <c r="H45" s="151">
        <f t="shared" si="3"/>
        <v>15750</v>
      </c>
      <c r="I45" s="151">
        <f t="shared" si="3"/>
        <v>21000</v>
      </c>
      <c r="J45" s="151">
        <f t="shared" si="3"/>
        <v>21000</v>
      </c>
      <c r="K45" s="151">
        <f t="shared" si="3"/>
        <v>45000</v>
      </c>
      <c r="L45" s="151">
        <f t="shared" si="3"/>
        <v>45000</v>
      </c>
      <c r="M45" s="151">
        <f t="shared" si="3"/>
        <v>36000</v>
      </c>
      <c r="N45" s="151">
        <f t="shared" si="3"/>
        <v>54000</v>
      </c>
      <c r="O45" s="151">
        <f t="shared" si="3"/>
        <v>12000</v>
      </c>
      <c r="P45" s="151">
        <f t="shared" si="3"/>
        <v>18000</v>
      </c>
      <c r="Q45" s="151">
        <f t="shared" si="3"/>
        <v>309750</v>
      </c>
      <c r="R45" s="151">
        <f t="shared" si="3"/>
        <v>1178159</v>
      </c>
      <c r="S45" s="151"/>
      <c r="T45" s="199">
        <f>IF(SUM(T8:T44)=0,"",SUM(T8:T44))</f>
        <v>354750</v>
      </c>
    </row>
    <row r="46" spans="1:21" ht="80.25" customHeight="1">
      <c r="A46" s="134" t="s">
        <v>183</v>
      </c>
      <c r="B46" s="152"/>
      <c r="C46" s="152"/>
      <c r="D46" s="152"/>
      <c r="E46" s="152"/>
      <c r="F46" s="152"/>
      <c r="G46" s="152"/>
      <c r="H46" s="152"/>
      <c r="I46" s="152"/>
      <c r="J46" s="152"/>
      <c r="K46" s="152"/>
      <c r="L46" s="152"/>
      <c r="M46" s="152"/>
      <c r="N46" s="152"/>
      <c r="O46" s="152"/>
      <c r="P46" s="152"/>
      <c r="Q46" s="181"/>
      <c r="R46" s="184"/>
      <c r="S46" s="190"/>
      <c r="T46" s="200"/>
    </row>
    <row r="47" spans="1:21" ht="80.25" customHeight="1">
      <c r="A47" s="139" t="s">
        <v>145</v>
      </c>
      <c r="B47" s="152"/>
      <c r="C47" s="152"/>
      <c r="D47" s="152"/>
      <c r="E47" s="152"/>
      <c r="F47" s="152"/>
      <c r="G47" s="152"/>
      <c r="H47" s="152"/>
      <c r="I47" s="152"/>
      <c r="J47" s="152"/>
      <c r="K47" s="152"/>
      <c r="L47" s="152"/>
      <c r="M47" s="152"/>
      <c r="N47" s="152"/>
      <c r="O47" s="152"/>
      <c r="P47" s="152"/>
      <c r="Q47" s="181"/>
      <c r="R47" s="184"/>
      <c r="S47" s="190"/>
      <c r="T47" s="200"/>
    </row>
    <row r="48" spans="1:21" ht="9" customHeight="1">
      <c r="A48" s="140"/>
    </row>
    <row r="49" spans="1:7" ht="26.25" customHeight="1">
      <c r="A49" s="141"/>
      <c r="B49" s="141"/>
      <c r="C49" s="141"/>
      <c r="D49" s="161"/>
      <c r="E49" s="141"/>
      <c r="F49" s="141"/>
      <c r="G49" s="141"/>
    </row>
    <row r="50" spans="1:7" ht="26.25" customHeight="1">
      <c r="A50" s="142"/>
      <c r="B50" s="7"/>
      <c r="C50" s="7"/>
      <c r="D50" s="162"/>
      <c r="E50" s="142"/>
      <c r="F50" s="7"/>
      <c r="G50" s="7"/>
    </row>
    <row r="51" spans="1:7" ht="26.25" customHeight="1">
      <c r="A51" s="142"/>
      <c r="B51" s="7"/>
      <c r="C51" s="7"/>
      <c r="D51" s="162"/>
      <c r="E51" s="142"/>
      <c r="F51" s="168"/>
      <c r="G51" s="168"/>
    </row>
    <row r="52" spans="1:7" ht="26.25" customHeight="1">
      <c r="A52" s="142"/>
      <c r="B52" s="7"/>
      <c r="C52" s="7"/>
      <c r="D52" s="162"/>
      <c r="E52" s="142"/>
      <c r="F52" s="7"/>
      <c r="G52" s="7"/>
    </row>
    <row r="53" spans="1:7" ht="26.25" customHeight="1">
      <c r="A53" s="142"/>
      <c r="B53" s="7"/>
      <c r="C53" s="7"/>
      <c r="D53" s="163"/>
      <c r="E53" s="142"/>
      <c r="F53" s="7"/>
      <c r="G53" s="7"/>
    </row>
    <row r="54" spans="1:7">
      <c r="A54" s="140"/>
    </row>
  </sheetData>
  <mergeCells count="19">
    <mergeCell ref="A1:H1"/>
    <mergeCell ref="A49:C49"/>
    <mergeCell ref="E49:G49"/>
    <mergeCell ref="B50:C50"/>
    <mergeCell ref="F50:G50"/>
    <mergeCell ref="B51:C51"/>
    <mergeCell ref="F51:G51"/>
    <mergeCell ref="B52:C52"/>
    <mergeCell ref="F52:G52"/>
    <mergeCell ref="B53:C53"/>
    <mergeCell ref="F53:G53"/>
    <mergeCell ref="A3:A7"/>
    <mergeCell ref="B3:B6"/>
    <mergeCell ref="C3:C6"/>
    <mergeCell ref="Q3:Q6"/>
    <mergeCell ref="R3:R6"/>
    <mergeCell ref="S3:S7"/>
    <mergeCell ref="T3:T6"/>
    <mergeCell ref="D50:D51"/>
  </mergeCells>
  <phoneticPr fontId="29"/>
  <printOptions horizontalCentered="1"/>
  <pageMargins left="0.39370078740157483" right="0.39370078740157483" top="0.59055118110236227" bottom="0.39370078740157483" header="0" footer="0"/>
  <pageSetup paperSize="9" scale="37" fitToWidth="1" fitToHeight="0" orientation="landscape" usePrinterDefaults="1" r:id="rId1"/>
  <headerFooter alignWithMargins="0">
    <oddFooter>&amp;R&amp;22
&amp;A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V70"/>
  <sheetViews>
    <sheetView view="pageBreakPreview" zoomScale="85" zoomScaleNormal="70" zoomScaleSheetLayoutView="85" workbookViewId="0">
      <selection activeCell="E29" sqref="E29"/>
    </sheetView>
  </sheetViews>
  <sheetFormatPr defaultRowHeight="13.5"/>
  <cols>
    <col min="1" max="1" width="12.375" style="207" bestFit="1" customWidth="1"/>
    <col min="2" max="2" width="34.875" style="207" customWidth="1"/>
    <col min="3" max="3" width="13.75" style="1" customWidth="1"/>
    <col min="4" max="17" width="10.75" style="1" customWidth="1"/>
    <col min="18" max="18" width="13.625" style="1" customWidth="1"/>
    <col min="19" max="19" width="11.125" style="1" customWidth="1"/>
    <col min="20" max="20" width="17.125" style="1" customWidth="1"/>
    <col min="21" max="21" width="9" style="1" customWidth="1"/>
    <col min="22" max="22" width="9.25" style="1" bestFit="1" customWidth="1"/>
    <col min="23" max="262" width="9" style="1" customWidth="1"/>
    <col min="263" max="263" width="12.375" style="1" bestFit="1" customWidth="1"/>
    <col min="264" max="264" width="12.25" style="1" customWidth="1"/>
    <col min="265" max="265" width="12.75" style="1" customWidth="1"/>
    <col min="266" max="269" width="12.25" style="1" customWidth="1"/>
    <col min="270" max="270" width="13.125" style="1" customWidth="1"/>
    <col min="271" max="271" width="13.25" style="1" customWidth="1"/>
    <col min="272" max="272" width="12.25" style="1" customWidth="1"/>
    <col min="273" max="273" width="10.125" style="1" customWidth="1"/>
    <col min="274" max="274" width="14.875" style="1" customWidth="1"/>
    <col min="275" max="275" width="8.625" style="1" customWidth="1"/>
    <col min="276" max="276" width="38.125" style="1" customWidth="1"/>
    <col min="277" max="277" width="9" style="1" customWidth="1"/>
    <col min="278" max="278" width="9.25" style="1" bestFit="1" customWidth="1"/>
    <col min="279" max="518" width="9" style="1" customWidth="1"/>
    <col min="519" max="519" width="12.375" style="1" bestFit="1" customWidth="1"/>
    <col min="520" max="520" width="12.25" style="1" customWidth="1"/>
    <col min="521" max="521" width="12.75" style="1" customWidth="1"/>
    <col min="522" max="525" width="12.25" style="1" customWidth="1"/>
    <col min="526" max="526" width="13.125" style="1" customWidth="1"/>
    <col min="527" max="527" width="13.25" style="1" customWidth="1"/>
    <col min="528" max="528" width="12.25" style="1" customWidth="1"/>
    <col min="529" max="529" width="10.125" style="1" customWidth="1"/>
    <col min="530" max="530" width="14.875" style="1" customWidth="1"/>
    <col min="531" max="531" width="8.625" style="1" customWidth="1"/>
    <col min="532" max="532" width="38.125" style="1" customWidth="1"/>
    <col min="533" max="533" width="9" style="1" customWidth="1"/>
    <col min="534" max="534" width="9.25" style="1" bestFit="1" customWidth="1"/>
    <col min="535" max="774" width="9" style="1" customWidth="1"/>
    <col min="775" max="775" width="12.375" style="1" bestFit="1" customWidth="1"/>
    <col min="776" max="776" width="12.25" style="1" customWidth="1"/>
    <col min="777" max="777" width="12.75" style="1" customWidth="1"/>
    <col min="778" max="781" width="12.25" style="1" customWidth="1"/>
    <col min="782" max="782" width="13.125" style="1" customWidth="1"/>
    <col min="783" max="783" width="13.25" style="1" customWidth="1"/>
    <col min="784" max="784" width="12.25" style="1" customWidth="1"/>
    <col min="785" max="785" width="10.125" style="1" customWidth="1"/>
    <col min="786" max="786" width="14.875" style="1" customWidth="1"/>
    <col min="787" max="787" width="8.625" style="1" customWidth="1"/>
    <col min="788" max="788" width="38.125" style="1" customWidth="1"/>
    <col min="789" max="789" width="9" style="1" customWidth="1"/>
    <col min="790" max="790" width="9.25" style="1" bestFit="1" customWidth="1"/>
    <col min="791" max="1030" width="9" style="1" customWidth="1"/>
    <col min="1031" max="1031" width="12.375" style="1" bestFit="1" customWidth="1"/>
    <col min="1032" max="1032" width="12.25" style="1" customWidth="1"/>
    <col min="1033" max="1033" width="12.75" style="1" customWidth="1"/>
    <col min="1034" max="1037" width="12.25" style="1" customWidth="1"/>
    <col min="1038" max="1038" width="13.125" style="1" customWidth="1"/>
    <col min="1039" max="1039" width="13.25" style="1" customWidth="1"/>
    <col min="1040" max="1040" width="12.25" style="1" customWidth="1"/>
    <col min="1041" max="1041" width="10.125" style="1" customWidth="1"/>
    <col min="1042" max="1042" width="14.875" style="1" customWidth="1"/>
    <col min="1043" max="1043" width="8.625" style="1" customWidth="1"/>
    <col min="1044" max="1044" width="38.125" style="1" customWidth="1"/>
    <col min="1045" max="1045" width="9" style="1" customWidth="1"/>
    <col min="1046" max="1046" width="9.25" style="1" bestFit="1" customWidth="1"/>
    <col min="1047" max="1286" width="9" style="1" customWidth="1"/>
    <col min="1287" max="1287" width="12.375" style="1" bestFit="1" customWidth="1"/>
    <col min="1288" max="1288" width="12.25" style="1" customWidth="1"/>
    <col min="1289" max="1289" width="12.75" style="1" customWidth="1"/>
    <col min="1290" max="1293" width="12.25" style="1" customWidth="1"/>
    <col min="1294" max="1294" width="13.125" style="1" customWidth="1"/>
    <col min="1295" max="1295" width="13.25" style="1" customWidth="1"/>
    <col min="1296" max="1296" width="12.25" style="1" customWidth="1"/>
    <col min="1297" max="1297" width="10.125" style="1" customWidth="1"/>
    <col min="1298" max="1298" width="14.875" style="1" customWidth="1"/>
    <col min="1299" max="1299" width="8.625" style="1" customWidth="1"/>
    <col min="1300" max="1300" width="38.125" style="1" customWidth="1"/>
    <col min="1301" max="1301" width="9" style="1" customWidth="1"/>
    <col min="1302" max="1302" width="9.25" style="1" bestFit="1" customWidth="1"/>
    <col min="1303" max="1542" width="9" style="1" customWidth="1"/>
    <col min="1543" max="1543" width="12.375" style="1" bestFit="1" customWidth="1"/>
    <col min="1544" max="1544" width="12.25" style="1" customWidth="1"/>
    <col min="1545" max="1545" width="12.75" style="1" customWidth="1"/>
    <col min="1546" max="1549" width="12.25" style="1" customWidth="1"/>
    <col min="1550" max="1550" width="13.125" style="1" customWidth="1"/>
    <col min="1551" max="1551" width="13.25" style="1" customWidth="1"/>
    <col min="1552" max="1552" width="12.25" style="1" customWidth="1"/>
    <col min="1553" max="1553" width="10.125" style="1" customWidth="1"/>
    <col min="1554" max="1554" width="14.875" style="1" customWidth="1"/>
    <col min="1555" max="1555" width="8.625" style="1" customWidth="1"/>
    <col min="1556" max="1556" width="38.125" style="1" customWidth="1"/>
    <col min="1557" max="1557" width="9" style="1" customWidth="1"/>
    <col min="1558" max="1558" width="9.25" style="1" bestFit="1" customWidth="1"/>
    <col min="1559" max="1798" width="9" style="1" customWidth="1"/>
    <col min="1799" max="1799" width="12.375" style="1" bestFit="1" customWidth="1"/>
    <col min="1800" max="1800" width="12.25" style="1" customWidth="1"/>
    <col min="1801" max="1801" width="12.75" style="1" customWidth="1"/>
    <col min="1802" max="1805" width="12.25" style="1" customWidth="1"/>
    <col min="1806" max="1806" width="13.125" style="1" customWidth="1"/>
    <col min="1807" max="1807" width="13.25" style="1" customWidth="1"/>
    <col min="1808" max="1808" width="12.25" style="1" customWidth="1"/>
    <col min="1809" max="1809" width="10.125" style="1" customWidth="1"/>
    <col min="1810" max="1810" width="14.875" style="1" customWidth="1"/>
    <col min="1811" max="1811" width="8.625" style="1" customWidth="1"/>
    <col min="1812" max="1812" width="38.125" style="1" customWidth="1"/>
    <col min="1813" max="1813" width="9" style="1" customWidth="1"/>
    <col min="1814" max="1814" width="9.25" style="1" bestFit="1" customWidth="1"/>
    <col min="1815" max="2054" width="9" style="1" customWidth="1"/>
    <col min="2055" max="2055" width="12.375" style="1" bestFit="1" customWidth="1"/>
    <col min="2056" max="2056" width="12.25" style="1" customWidth="1"/>
    <col min="2057" max="2057" width="12.75" style="1" customWidth="1"/>
    <col min="2058" max="2061" width="12.25" style="1" customWidth="1"/>
    <col min="2062" max="2062" width="13.125" style="1" customWidth="1"/>
    <col min="2063" max="2063" width="13.25" style="1" customWidth="1"/>
    <col min="2064" max="2064" width="12.25" style="1" customWidth="1"/>
    <col min="2065" max="2065" width="10.125" style="1" customWidth="1"/>
    <col min="2066" max="2066" width="14.875" style="1" customWidth="1"/>
    <col min="2067" max="2067" width="8.625" style="1" customWidth="1"/>
    <col min="2068" max="2068" width="38.125" style="1" customWidth="1"/>
    <col min="2069" max="2069" width="9" style="1" customWidth="1"/>
    <col min="2070" max="2070" width="9.25" style="1" bestFit="1" customWidth="1"/>
    <col min="2071" max="2310" width="9" style="1" customWidth="1"/>
    <col min="2311" max="2311" width="12.375" style="1" bestFit="1" customWidth="1"/>
    <col min="2312" max="2312" width="12.25" style="1" customWidth="1"/>
    <col min="2313" max="2313" width="12.75" style="1" customWidth="1"/>
    <col min="2314" max="2317" width="12.25" style="1" customWidth="1"/>
    <col min="2318" max="2318" width="13.125" style="1" customWidth="1"/>
    <col min="2319" max="2319" width="13.25" style="1" customWidth="1"/>
    <col min="2320" max="2320" width="12.25" style="1" customWidth="1"/>
    <col min="2321" max="2321" width="10.125" style="1" customWidth="1"/>
    <col min="2322" max="2322" width="14.875" style="1" customWidth="1"/>
    <col min="2323" max="2323" width="8.625" style="1" customWidth="1"/>
    <col min="2324" max="2324" width="38.125" style="1" customWidth="1"/>
    <col min="2325" max="2325" width="9" style="1" customWidth="1"/>
    <col min="2326" max="2326" width="9.25" style="1" bestFit="1" customWidth="1"/>
    <col min="2327" max="2566" width="9" style="1" customWidth="1"/>
    <col min="2567" max="2567" width="12.375" style="1" bestFit="1" customWidth="1"/>
    <col min="2568" max="2568" width="12.25" style="1" customWidth="1"/>
    <col min="2569" max="2569" width="12.75" style="1" customWidth="1"/>
    <col min="2570" max="2573" width="12.25" style="1" customWidth="1"/>
    <col min="2574" max="2574" width="13.125" style="1" customWidth="1"/>
    <col min="2575" max="2575" width="13.25" style="1" customWidth="1"/>
    <col min="2576" max="2576" width="12.25" style="1" customWidth="1"/>
    <col min="2577" max="2577" width="10.125" style="1" customWidth="1"/>
    <col min="2578" max="2578" width="14.875" style="1" customWidth="1"/>
    <col min="2579" max="2579" width="8.625" style="1" customWidth="1"/>
    <col min="2580" max="2580" width="38.125" style="1" customWidth="1"/>
    <col min="2581" max="2581" width="9" style="1" customWidth="1"/>
    <col min="2582" max="2582" width="9.25" style="1" bestFit="1" customWidth="1"/>
    <col min="2583" max="2822" width="9" style="1" customWidth="1"/>
    <col min="2823" max="2823" width="12.375" style="1" bestFit="1" customWidth="1"/>
    <col min="2824" max="2824" width="12.25" style="1" customWidth="1"/>
    <col min="2825" max="2825" width="12.75" style="1" customWidth="1"/>
    <col min="2826" max="2829" width="12.25" style="1" customWidth="1"/>
    <col min="2830" max="2830" width="13.125" style="1" customWidth="1"/>
    <col min="2831" max="2831" width="13.25" style="1" customWidth="1"/>
    <col min="2832" max="2832" width="12.25" style="1" customWidth="1"/>
    <col min="2833" max="2833" width="10.125" style="1" customWidth="1"/>
    <col min="2834" max="2834" width="14.875" style="1" customWidth="1"/>
    <col min="2835" max="2835" width="8.625" style="1" customWidth="1"/>
    <col min="2836" max="2836" width="38.125" style="1" customWidth="1"/>
    <col min="2837" max="2837" width="9" style="1" customWidth="1"/>
    <col min="2838" max="2838" width="9.25" style="1" bestFit="1" customWidth="1"/>
    <col min="2839" max="3078" width="9" style="1" customWidth="1"/>
    <col min="3079" max="3079" width="12.375" style="1" bestFit="1" customWidth="1"/>
    <col min="3080" max="3080" width="12.25" style="1" customWidth="1"/>
    <col min="3081" max="3081" width="12.75" style="1" customWidth="1"/>
    <col min="3082" max="3085" width="12.25" style="1" customWidth="1"/>
    <col min="3086" max="3086" width="13.125" style="1" customWidth="1"/>
    <col min="3087" max="3087" width="13.25" style="1" customWidth="1"/>
    <col min="3088" max="3088" width="12.25" style="1" customWidth="1"/>
    <col min="3089" max="3089" width="10.125" style="1" customWidth="1"/>
    <col min="3090" max="3090" width="14.875" style="1" customWidth="1"/>
    <col min="3091" max="3091" width="8.625" style="1" customWidth="1"/>
    <col min="3092" max="3092" width="38.125" style="1" customWidth="1"/>
    <col min="3093" max="3093" width="9" style="1" customWidth="1"/>
    <col min="3094" max="3094" width="9.25" style="1" bestFit="1" customWidth="1"/>
    <col min="3095" max="3334" width="9" style="1" customWidth="1"/>
    <col min="3335" max="3335" width="12.375" style="1" bestFit="1" customWidth="1"/>
    <col min="3336" max="3336" width="12.25" style="1" customWidth="1"/>
    <col min="3337" max="3337" width="12.75" style="1" customWidth="1"/>
    <col min="3338" max="3341" width="12.25" style="1" customWidth="1"/>
    <col min="3342" max="3342" width="13.125" style="1" customWidth="1"/>
    <col min="3343" max="3343" width="13.25" style="1" customWidth="1"/>
    <col min="3344" max="3344" width="12.25" style="1" customWidth="1"/>
    <col min="3345" max="3345" width="10.125" style="1" customWidth="1"/>
    <col min="3346" max="3346" width="14.875" style="1" customWidth="1"/>
    <col min="3347" max="3347" width="8.625" style="1" customWidth="1"/>
    <col min="3348" max="3348" width="38.125" style="1" customWidth="1"/>
    <col min="3349" max="3349" width="9" style="1" customWidth="1"/>
    <col min="3350" max="3350" width="9.25" style="1" bestFit="1" customWidth="1"/>
    <col min="3351" max="3590" width="9" style="1" customWidth="1"/>
    <col min="3591" max="3591" width="12.375" style="1" bestFit="1" customWidth="1"/>
    <col min="3592" max="3592" width="12.25" style="1" customWidth="1"/>
    <col min="3593" max="3593" width="12.75" style="1" customWidth="1"/>
    <col min="3594" max="3597" width="12.25" style="1" customWidth="1"/>
    <col min="3598" max="3598" width="13.125" style="1" customWidth="1"/>
    <col min="3599" max="3599" width="13.25" style="1" customWidth="1"/>
    <col min="3600" max="3600" width="12.25" style="1" customWidth="1"/>
    <col min="3601" max="3601" width="10.125" style="1" customWidth="1"/>
    <col min="3602" max="3602" width="14.875" style="1" customWidth="1"/>
    <col min="3603" max="3603" width="8.625" style="1" customWidth="1"/>
    <col min="3604" max="3604" width="38.125" style="1" customWidth="1"/>
    <col min="3605" max="3605" width="9" style="1" customWidth="1"/>
    <col min="3606" max="3606" width="9.25" style="1" bestFit="1" customWidth="1"/>
    <col min="3607" max="3846" width="9" style="1" customWidth="1"/>
    <col min="3847" max="3847" width="12.375" style="1" bestFit="1" customWidth="1"/>
    <col min="3848" max="3848" width="12.25" style="1" customWidth="1"/>
    <col min="3849" max="3849" width="12.75" style="1" customWidth="1"/>
    <col min="3850" max="3853" width="12.25" style="1" customWidth="1"/>
    <col min="3854" max="3854" width="13.125" style="1" customWidth="1"/>
    <col min="3855" max="3855" width="13.25" style="1" customWidth="1"/>
    <col min="3856" max="3856" width="12.25" style="1" customWidth="1"/>
    <col min="3857" max="3857" width="10.125" style="1" customWidth="1"/>
    <col min="3858" max="3858" width="14.875" style="1" customWidth="1"/>
    <col min="3859" max="3859" width="8.625" style="1" customWidth="1"/>
    <col min="3860" max="3860" width="38.125" style="1" customWidth="1"/>
    <col min="3861" max="3861" width="9" style="1" customWidth="1"/>
    <col min="3862" max="3862" width="9.25" style="1" bestFit="1" customWidth="1"/>
    <col min="3863" max="4102" width="9" style="1" customWidth="1"/>
    <col min="4103" max="4103" width="12.375" style="1" bestFit="1" customWidth="1"/>
    <col min="4104" max="4104" width="12.25" style="1" customWidth="1"/>
    <col min="4105" max="4105" width="12.75" style="1" customWidth="1"/>
    <col min="4106" max="4109" width="12.25" style="1" customWidth="1"/>
    <col min="4110" max="4110" width="13.125" style="1" customWidth="1"/>
    <col min="4111" max="4111" width="13.25" style="1" customWidth="1"/>
    <col min="4112" max="4112" width="12.25" style="1" customWidth="1"/>
    <col min="4113" max="4113" width="10.125" style="1" customWidth="1"/>
    <col min="4114" max="4114" width="14.875" style="1" customWidth="1"/>
    <col min="4115" max="4115" width="8.625" style="1" customWidth="1"/>
    <col min="4116" max="4116" width="38.125" style="1" customWidth="1"/>
    <col min="4117" max="4117" width="9" style="1" customWidth="1"/>
    <col min="4118" max="4118" width="9.25" style="1" bestFit="1" customWidth="1"/>
    <col min="4119" max="4358" width="9" style="1" customWidth="1"/>
    <col min="4359" max="4359" width="12.375" style="1" bestFit="1" customWidth="1"/>
    <col min="4360" max="4360" width="12.25" style="1" customWidth="1"/>
    <col min="4361" max="4361" width="12.75" style="1" customWidth="1"/>
    <col min="4362" max="4365" width="12.25" style="1" customWidth="1"/>
    <col min="4366" max="4366" width="13.125" style="1" customWidth="1"/>
    <col min="4367" max="4367" width="13.25" style="1" customWidth="1"/>
    <col min="4368" max="4368" width="12.25" style="1" customWidth="1"/>
    <col min="4369" max="4369" width="10.125" style="1" customWidth="1"/>
    <col min="4370" max="4370" width="14.875" style="1" customWidth="1"/>
    <col min="4371" max="4371" width="8.625" style="1" customWidth="1"/>
    <col min="4372" max="4372" width="38.125" style="1" customWidth="1"/>
    <col min="4373" max="4373" width="9" style="1" customWidth="1"/>
    <col min="4374" max="4374" width="9.25" style="1" bestFit="1" customWidth="1"/>
    <col min="4375" max="4614" width="9" style="1" customWidth="1"/>
    <col min="4615" max="4615" width="12.375" style="1" bestFit="1" customWidth="1"/>
    <col min="4616" max="4616" width="12.25" style="1" customWidth="1"/>
    <col min="4617" max="4617" width="12.75" style="1" customWidth="1"/>
    <col min="4618" max="4621" width="12.25" style="1" customWidth="1"/>
    <col min="4622" max="4622" width="13.125" style="1" customWidth="1"/>
    <col min="4623" max="4623" width="13.25" style="1" customWidth="1"/>
    <col min="4624" max="4624" width="12.25" style="1" customWidth="1"/>
    <col min="4625" max="4625" width="10.125" style="1" customWidth="1"/>
    <col min="4626" max="4626" width="14.875" style="1" customWidth="1"/>
    <col min="4627" max="4627" width="8.625" style="1" customWidth="1"/>
    <col min="4628" max="4628" width="38.125" style="1" customWidth="1"/>
    <col min="4629" max="4629" width="9" style="1" customWidth="1"/>
    <col min="4630" max="4630" width="9.25" style="1" bestFit="1" customWidth="1"/>
    <col min="4631" max="4870" width="9" style="1" customWidth="1"/>
    <col min="4871" max="4871" width="12.375" style="1" bestFit="1" customWidth="1"/>
    <col min="4872" max="4872" width="12.25" style="1" customWidth="1"/>
    <col min="4873" max="4873" width="12.75" style="1" customWidth="1"/>
    <col min="4874" max="4877" width="12.25" style="1" customWidth="1"/>
    <col min="4878" max="4878" width="13.125" style="1" customWidth="1"/>
    <col min="4879" max="4879" width="13.25" style="1" customWidth="1"/>
    <col min="4880" max="4880" width="12.25" style="1" customWidth="1"/>
    <col min="4881" max="4881" width="10.125" style="1" customWidth="1"/>
    <col min="4882" max="4882" width="14.875" style="1" customWidth="1"/>
    <col min="4883" max="4883" width="8.625" style="1" customWidth="1"/>
    <col min="4884" max="4884" width="38.125" style="1" customWidth="1"/>
    <col min="4885" max="4885" width="9" style="1" customWidth="1"/>
    <col min="4886" max="4886" width="9.25" style="1" bestFit="1" customWidth="1"/>
    <col min="4887" max="5126" width="9" style="1" customWidth="1"/>
    <col min="5127" max="5127" width="12.375" style="1" bestFit="1" customWidth="1"/>
    <col min="5128" max="5128" width="12.25" style="1" customWidth="1"/>
    <col min="5129" max="5129" width="12.75" style="1" customWidth="1"/>
    <col min="5130" max="5133" width="12.25" style="1" customWidth="1"/>
    <col min="5134" max="5134" width="13.125" style="1" customWidth="1"/>
    <col min="5135" max="5135" width="13.25" style="1" customWidth="1"/>
    <col min="5136" max="5136" width="12.25" style="1" customWidth="1"/>
    <col min="5137" max="5137" width="10.125" style="1" customWidth="1"/>
    <col min="5138" max="5138" width="14.875" style="1" customWidth="1"/>
    <col min="5139" max="5139" width="8.625" style="1" customWidth="1"/>
    <col min="5140" max="5140" width="38.125" style="1" customWidth="1"/>
    <col min="5141" max="5141" width="9" style="1" customWidth="1"/>
    <col min="5142" max="5142" width="9.25" style="1" bestFit="1" customWidth="1"/>
    <col min="5143" max="5382" width="9" style="1" customWidth="1"/>
    <col min="5383" max="5383" width="12.375" style="1" bestFit="1" customWidth="1"/>
    <col min="5384" max="5384" width="12.25" style="1" customWidth="1"/>
    <col min="5385" max="5385" width="12.75" style="1" customWidth="1"/>
    <col min="5386" max="5389" width="12.25" style="1" customWidth="1"/>
    <col min="5390" max="5390" width="13.125" style="1" customWidth="1"/>
    <col min="5391" max="5391" width="13.25" style="1" customWidth="1"/>
    <col min="5392" max="5392" width="12.25" style="1" customWidth="1"/>
    <col min="5393" max="5393" width="10.125" style="1" customWidth="1"/>
    <col min="5394" max="5394" width="14.875" style="1" customWidth="1"/>
    <col min="5395" max="5395" width="8.625" style="1" customWidth="1"/>
    <col min="5396" max="5396" width="38.125" style="1" customWidth="1"/>
    <col min="5397" max="5397" width="9" style="1" customWidth="1"/>
    <col min="5398" max="5398" width="9.25" style="1" bestFit="1" customWidth="1"/>
    <col min="5399" max="5638" width="9" style="1" customWidth="1"/>
    <col min="5639" max="5639" width="12.375" style="1" bestFit="1" customWidth="1"/>
    <col min="5640" max="5640" width="12.25" style="1" customWidth="1"/>
    <col min="5641" max="5641" width="12.75" style="1" customWidth="1"/>
    <col min="5642" max="5645" width="12.25" style="1" customWidth="1"/>
    <col min="5646" max="5646" width="13.125" style="1" customWidth="1"/>
    <col min="5647" max="5647" width="13.25" style="1" customWidth="1"/>
    <col min="5648" max="5648" width="12.25" style="1" customWidth="1"/>
    <col min="5649" max="5649" width="10.125" style="1" customWidth="1"/>
    <col min="5650" max="5650" width="14.875" style="1" customWidth="1"/>
    <col min="5651" max="5651" width="8.625" style="1" customWidth="1"/>
    <col min="5652" max="5652" width="38.125" style="1" customWidth="1"/>
    <col min="5653" max="5653" width="9" style="1" customWidth="1"/>
    <col min="5654" max="5654" width="9.25" style="1" bestFit="1" customWidth="1"/>
    <col min="5655" max="5894" width="9" style="1" customWidth="1"/>
    <col min="5895" max="5895" width="12.375" style="1" bestFit="1" customWidth="1"/>
    <col min="5896" max="5896" width="12.25" style="1" customWidth="1"/>
    <col min="5897" max="5897" width="12.75" style="1" customWidth="1"/>
    <col min="5898" max="5901" width="12.25" style="1" customWidth="1"/>
    <col min="5902" max="5902" width="13.125" style="1" customWidth="1"/>
    <col min="5903" max="5903" width="13.25" style="1" customWidth="1"/>
    <col min="5904" max="5904" width="12.25" style="1" customWidth="1"/>
    <col min="5905" max="5905" width="10.125" style="1" customWidth="1"/>
    <col min="5906" max="5906" width="14.875" style="1" customWidth="1"/>
    <col min="5907" max="5907" width="8.625" style="1" customWidth="1"/>
    <col min="5908" max="5908" width="38.125" style="1" customWidth="1"/>
    <col min="5909" max="5909" width="9" style="1" customWidth="1"/>
    <col min="5910" max="5910" width="9.25" style="1" bestFit="1" customWidth="1"/>
    <col min="5911" max="6150" width="9" style="1" customWidth="1"/>
    <col min="6151" max="6151" width="12.375" style="1" bestFit="1" customWidth="1"/>
    <col min="6152" max="6152" width="12.25" style="1" customWidth="1"/>
    <col min="6153" max="6153" width="12.75" style="1" customWidth="1"/>
    <col min="6154" max="6157" width="12.25" style="1" customWidth="1"/>
    <col min="6158" max="6158" width="13.125" style="1" customWidth="1"/>
    <col min="6159" max="6159" width="13.25" style="1" customWidth="1"/>
    <col min="6160" max="6160" width="12.25" style="1" customWidth="1"/>
    <col min="6161" max="6161" width="10.125" style="1" customWidth="1"/>
    <col min="6162" max="6162" width="14.875" style="1" customWidth="1"/>
    <col min="6163" max="6163" width="8.625" style="1" customWidth="1"/>
    <col min="6164" max="6164" width="38.125" style="1" customWidth="1"/>
    <col min="6165" max="6165" width="9" style="1" customWidth="1"/>
    <col min="6166" max="6166" width="9.25" style="1" bestFit="1" customWidth="1"/>
    <col min="6167" max="6406" width="9" style="1" customWidth="1"/>
    <col min="6407" max="6407" width="12.375" style="1" bestFit="1" customWidth="1"/>
    <col min="6408" max="6408" width="12.25" style="1" customWidth="1"/>
    <col min="6409" max="6409" width="12.75" style="1" customWidth="1"/>
    <col min="6410" max="6413" width="12.25" style="1" customWidth="1"/>
    <col min="6414" max="6414" width="13.125" style="1" customWidth="1"/>
    <col min="6415" max="6415" width="13.25" style="1" customWidth="1"/>
    <col min="6416" max="6416" width="12.25" style="1" customWidth="1"/>
    <col min="6417" max="6417" width="10.125" style="1" customWidth="1"/>
    <col min="6418" max="6418" width="14.875" style="1" customWidth="1"/>
    <col min="6419" max="6419" width="8.625" style="1" customWidth="1"/>
    <col min="6420" max="6420" width="38.125" style="1" customWidth="1"/>
    <col min="6421" max="6421" width="9" style="1" customWidth="1"/>
    <col min="6422" max="6422" width="9.25" style="1" bestFit="1" customWidth="1"/>
    <col min="6423" max="6662" width="9" style="1" customWidth="1"/>
    <col min="6663" max="6663" width="12.375" style="1" bestFit="1" customWidth="1"/>
    <col min="6664" max="6664" width="12.25" style="1" customWidth="1"/>
    <col min="6665" max="6665" width="12.75" style="1" customWidth="1"/>
    <col min="6666" max="6669" width="12.25" style="1" customWidth="1"/>
    <col min="6670" max="6670" width="13.125" style="1" customWidth="1"/>
    <col min="6671" max="6671" width="13.25" style="1" customWidth="1"/>
    <col min="6672" max="6672" width="12.25" style="1" customWidth="1"/>
    <col min="6673" max="6673" width="10.125" style="1" customWidth="1"/>
    <col min="6674" max="6674" width="14.875" style="1" customWidth="1"/>
    <col min="6675" max="6675" width="8.625" style="1" customWidth="1"/>
    <col min="6676" max="6676" width="38.125" style="1" customWidth="1"/>
    <col min="6677" max="6677" width="9" style="1" customWidth="1"/>
    <col min="6678" max="6678" width="9.25" style="1" bestFit="1" customWidth="1"/>
    <col min="6679" max="6918" width="9" style="1" customWidth="1"/>
    <col min="6919" max="6919" width="12.375" style="1" bestFit="1" customWidth="1"/>
    <col min="6920" max="6920" width="12.25" style="1" customWidth="1"/>
    <col min="6921" max="6921" width="12.75" style="1" customWidth="1"/>
    <col min="6922" max="6925" width="12.25" style="1" customWidth="1"/>
    <col min="6926" max="6926" width="13.125" style="1" customWidth="1"/>
    <col min="6927" max="6927" width="13.25" style="1" customWidth="1"/>
    <col min="6928" max="6928" width="12.25" style="1" customWidth="1"/>
    <col min="6929" max="6929" width="10.125" style="1" customWidth="1"/>
    <col min="6930" max="6930" width="14.875" style="1" customWidth="1"/>
    <col min="6931" max="6931" width="8.625" style="1" customWidth="1"/>
    <col min="6932" max="6932" width="38.125" style="1" customWidth="1"/>
    <col min="6933" max="6933" width="9" style="1" customWidth="1"/>
    <col min="6934" max="6934" width="9.25" style="1" bestFit="1" customWidth="1"/>
    <col min="6935" max="7174" width="9" style="1" customWidth="1"/>
    <col min="7175" max="7175" width="12.375" style="1" bestFit="1" customWidth="1"/>
    <col min="7176" max="7176" width="12.25" style="1" customWidth="1"/>
    <col min="7177" max="7177" width="12.75" style="1" customWidth="1"/>
    <col min="7178" max="7181" width="12.25" style="1" customWidth="1"/>
    <col min="7182" max="7182" width="13.125" style="1" customWidth="1"/>
    <col min="7183" max="7183" width="13.25" style="1" customWidth="1"/>
    <col min="7184" max="7184" width="12.25" style="1" customWidth="1"/>
    <col min="7185" max="7185" width="10.125" style="1" customWidth="1"/>
    <col min="7186" max="7186" width="14.875" style="1" customWidth="1"/>
    <col min="7187" max="7187" width="8.625" style="1" customWidth="1"/>
    <col min="7188" max="7188" width="38.125" style="1" customWidth="1"/>
    <col min="7189" max="7189" width="9" style="1" customWidth="1"/>
    <col min="7190" max="7190" width="9.25" style="1" bestFit="1" customWidth="1"/>
    <col min="7191" max="7430" width="9" style="1" customWidth="1"/>
    <col min="7431" max="7431" width="12.375" style="1" bestFit="1" customWidth="1"/>
    <col min="7432" max="7432" width="12.25" style="1" customWidth="1"/>
    <col min="7433" max="7433" width="12.75" style="1" customWidth="1"/>
    <col min="7434" max="7437" width="12.25" style="1" customWidth="1"/>
    <col min="7438" max="7438" width="13.125" style="1" customWidth="1"/>
    <col min="7439" max="7439" width="13.25" style="1" customWidth="1"/>
    <col min="7440" max="7440" width="12.25" style="1" customWidth="1"/>
    <col min="7441" max="7441" width="10.125" style="1" customWidth="1"/>
    <col min="7442" max="7442" width="14.875" style="1" customWidth="1"/>
    <col min="7443" max="7443" width="8.625" style="1" customWidth="1"/>
    <col min="7444" max="7444" width="38.125" style="1" customWidth="1"/>
    <col min="7445" max="7445" width="9" style="1" customWidth="1"/>
    <col min="7446" max="7446" width="9.25" style="1" bestFit="1" customWidth="1"/>
    <col min="7447" max="7686" width="9" style="1" customWidth="1"/>
    <col min="7687" max="7687" width="12.375" style="1" bestFit="1" customWidth="1"/>
    <col min="7688" max="7688" width="12.25" style="1" customWidth="1"/>
    <col min="7689" max="7689" width="12.75" style="1" customWidth="1"/>
    <col min="7690" max="7693" width="12.25" style="1" customWidth="1"/>
    <col min="7694" max="7694" width="13.125" style="1" customWidth="1"/>
    <col min="7695" max="7695" width="13.25" style="1" customWidth="1"/>
    <col min="7696" max="7696" width="12.25" style="1" customWidth="1"/>
    <col min="7697" max="7697" width="10.125" style="1" customWidth="1"/>
    <col min="7698" max="7698" width="14.875" style="1" customWidth="1"/>
    <col min="7699" max="7699" width="8.625" style="1" customWidth="1"/>
    <col min="7700" max="7700" width="38.125" style="1" customWidth="1"/>
    <col min="7701" max="7701" width="9" style="1" customWidth="1"/>
    <col min="7702" max="7702" width="9.25" style="1" bestFit="1" customWidth="1"/>
    <col min="7703" max="7942" width="9" style="1" customWidth="1"/>
    <col min="7943" max="7943" width="12.375" style="1" bestFit="1" customWidth="1"/>
    <col min="7944" max="7944" width="12.25" style="1" customWidth="1"/>
    <col min="7945" max="7945" width="12.75" style="1" customWidth="1"/>
    <col min="7946" max="7949" width="12.25" style="1" customWidth="1"/>
    <col min="7950" max="7950" width="13.125" style="1" customWidth="1"/>
    <col min="7951" max="7951" width="13.25" style="1" customWidth="1"/>
    <col min="7952" max="7952" width="12.25" style="1" customWidth="1"/>
    <col min="7953" max="7953" width="10.125" style="1" customWidth="1"/>
    <col min="7954" max="7954" width="14.875" style="1" customWidth="1"/>
    <col min="7955" max="7955" width="8.625" style="1" customWidth="1"/>
    <col min="7956" max="7956" width="38.125" style="1" customWidth="1"/>
    <col min="7957" max="7957" width="9" style="1" customWidth="1"/>
    <col min="7958" max="7958" width="9.25" style="1" bestFit="1" customWidth="1"/>
    <col min="7959" max="8198" width="9" style="1" customWidth="1"/>
    <col min="8199" max="8199" width="12.375" style="1" bestFit="1" customWidth="1"/>
    <col min="8200" max="8200" width="12.25" style="1" customWidth="1"/>
    <col min="8201" max="8201" width="12.75" style="1" customWidth="1"/>
    <col min="8202" max="8205" width="12.25" style="1" customWidth="1"/>
    <col min="8206" max="8206" width="13.125" style="1" customWidth="1"/>
    <col min="8207" max="8207" width="13.25" style="1" customWidth="1"/>
    <col min="8208" max="8208" width="12.25" style="1" customWidth="1"/>
    <col min="8209" max="8209" width="10.125" style="1" customWidth="1"/>
    <col min="8210" max="8210" width="14.875" style="1" customWidth="1"/>
    <col min="8211" max="8211" width="8.625" style="1" customWidth="1"/>
    <col min="8212" max="8212" width="38.125" style="1" customWidth="1"/>
    <col min="8213" max="8213" width="9" style="1" customWidth="1"/>
    <col min="8214" max="8214" width="9.25" style="1" bestFit="1" customWidth="1"/>
    <col min="8215" max="8454" width="9" style="1" customWidth="1"/>
    <col min="8455" max="8455" width="12.375" style="1" bestFit="1" customWidth="1"/>
    <col min="8456" max="8456" width="12.25" style="1" customWidth="1"/>
    <col min="8457" max="8457" width="12.75" style="1" customWidth="1"/>
    <col min="8458" max="8461" width="12.25" style="1" customWidth="1"/>
    <col min="8462" max="8462" width="13.125" style="1" customWidth="1"/>
    <col min="8463" max="8463" width="13.25" style="1" customWidth="1"/>
    <col min="8464" max="8464" width="12.25" style="1" customWidth="1"/>
    <col min="8465" max="8465" width="10.125" style="1" customWidth="1"/>
    <col min="8466" max="8466" width="14.875" style="1" customWidth="1"/>
    <col min="8467" max="8467" width="8.625" style="1" customWidth="1"/>
    <col min="8468" max="8468" width="38.125" style="1" customWidth="1"/>
    <col min="8469" max="8469" width="9" style="1" customWidth="1"/>
    <col min="8470" max="8470" width="9.25" style="1" bestFit="1" customWidth="1"/>
    <col min="8471" max="8710" width="9" style="1" customWidth="1"/>
    <col min="8711" max="8711" width="12.375" style="1" bestFit="1" customWidth="1"/>
    <col min="8712" max="8712" width="12.25" style="1" customWidth="1"/>
    <col min="8713" max="8713" width="12.75" style="1" customWidth="1"/>
    <col min="8714" max="8717" width="12.25" style="1" customWidth="1"/>
    <col min="8718" max="8718" width="13.125" style="1" customWidth="1"/>
    <col min="8719" max="8719" width="13.25" style="1" customWidth="1"/>
    <col min="8720" max="8720" width="12.25" style="1" customWidth="1"/>
    <col min="8721" max="8721" width="10.125" style="1" customWidth="1"/>
    <col min="8722" max="8722" width="14.875" style="1" customWidth="1"/>
    <col min="8723" max="8723" width="8.625" style="1" customWidth="1"/>
    <col min="8724" max="8724" width="38.125" style="1" customWidth="1"/>
    <col min="8725" max="8725" width="9" style="1" customWidth="1"/>
    <col min="8726" max="8726" width="9.25" style="1" bestFit="1" customWidth="1"/>
    <col min="8727" max="8966" width="9" style="1" customWidth="1"/>
    <col min="8967" max="8967" width="12.375" style="1" bestFit="1" customWidth="1"/>
    <col min="8968" max="8968" width="12.25" style="1" customWidth="1"/>
    <col min="8969" max="8969" width="12.75" style="1" customWidth="1"/>
    <col min="8970" max="8973" width="12.25" style="1" customWidth="1"/>
    <col min="8974" max="8974" width="13.125" style="1" customWidth="1"/>
    <col min="8975" max="8975" width="13.25" style="1" customWidth="1"/>
    <col min="8976" max="8976" width="12.25" style="1" customWidth="1"/>
    <col min="8977" max="8977" width="10.125" style="1" customWidth="1"/>
    <col min="8978" max="8978" width="14.875" style="1" customWidth="1"/>
    <col min="8979" max="8979" width="8.625" style="1" customWidth="1"/>
    <col min="8980" max="8980" width="38.125" style="1" customWidth="1"/>
    <col min="8981" max="8981" width="9" style="1" customWidth="1"/>
    <col min="8982" max="8982" width="9.25" style="1" bestFit="1" customWidth="1"/>
    <col min="8983" max="9222" width="9" style="1" customWidth="1"/>
    <col min="9223" max="9223" width="12.375" style="1" bestFit="1" customWidth="1"/>
    <col min="9224" max="9224" width="12.25" style="1" customWidth="1"/>
    <col min="9225" max="9225" width="12.75" style="1" customWidth="1"/>
    <col min="9226" max="9229" width="12.25" style="1" customWidth="1"/>
    <col min="9230" max="9230" width="13.125" style="1" customWidth="1"/>
    <col min="9231" max="9231" width="13.25" style="1" customWidth="1"/>
    <col min="9232" max="9232" width="12.25" style="1" customWidth="1"/>
    <col min="9233" max="9233" width="10.125" style="1" customWidth="1"/>
    <col min="9234" max="9234" width="14.875" style="1" customWidth="1"/>
    <col min="9235" max="9235" width="8.625" style="1" customWidth="1"/>
    <col min="9236" max="9236" width="38.125" style="1" customWidth="1"/>
    <col min="9237" max="9237" width="9" style="1" customWidth="1"/>
    <col min="9238" max="9238" width="9.25" style="1" bestFit="1" customWidth="1"/>
    <col min="9239" max="9478" width="9" style="1" customWidth="1"/>
    <col min="9479" max="9479" width="12.375" style="1" bestFit="1" customWidth="1"/>
    <col min="9480" max="9480" width="12.25" style="1" customWidth="1"/>
    <col min="9481" max="9481" width="12.75" style="1" customWidth="1"/>
    <col min="9482" max="9485" width="12.25" style="1" customWidth="1"/>
    <col min="9486" max="9486" width="13.125" style="1" customWidth="1"/>
    <col min="9487" max="9487" width="13.25" style="1" customWidth="1"/>
    <col min="9488" max="9488" width="12.25" style="1" customWidth="1"/>
    <col min="9489" max="9489" width="10.125" style="1" customWidth="1"/>
    <col min="9490" max="9490" width="14.875" style="1" customWidth="1"/>
    <col min="9491" max="9491" width="8.625" style="1" customWidth="1"/>
    <col min="9492" max="9492" width="38.125" style="1" customWidth="1"/>
    <col min="9493" max="9493" width="9" style="1" customWidth="1"/>
    <col min="9494" max="9494" width="9.25" style="1" bestFit="1" customWidth="1"/>
    <col min="9495" max="9734" width="9" style="1" customWidth="1"/>
    <col min="9735" max="9735" width="12.375" style="1" bestFit="1" customWidth="1"/>
    <col min="9736" max="9736" width="12.25" style="1" customWidth="1"/>
    <col min="9737" max="9737" width="12.75" style="1" customWidth="1"/>
    <col min="9738" max="9741" width="12.25" style="1" customWidth="1"/>
    <col min="9742" max="9742" width="13.125" style="1" customWidth="1"/>
    <col min="9743" max="9743" width="13.25" style="1" customWidth="1"/>
    <col min="9744" max="9744" width="12.25" style="1" customWidth="1"/>
    <col min="9745" max="9745" width="10.125" style="1" customWidth="1"/>
    <col min="9746" max="9746" width="14.875" style="1" customWidth="1"/>
    <col min="9747" max="9747" width="8.625" style="1" customWidth="1"/>
    <col min="9748" max="9748" width="38.125" style="1" customWidth="1"/>
    <col min="9749" max="9749" width="9" style="1" customWidth="1"/>
    <col min="9750" max="9750" width="9.25" style="1" bestFit="1" customWidth="1"/>
    <col min="9751" max="9990" width="9" style="1" customWidth="1"/>
    <col min="9991" max="9991" width="12.375" style="1" bestFit="1" customWidth="1"/>
    <col min="9992" max="9992" width="12.25" style="1" customWidth="1"/>
    <col min="9993" max="9993" width="12.75" style="1" customWidth="1"/>
    <col min="9994" max="9997" width="12.25" style="1" customWidth="1"/>
    <col min="9998" max="9998" width="13.125" style="1" customWidth="1"/>
    <col min="9999" max="9999" width="13.25" style="1" customWidth="1"/>
    <col min="10000" max="10000" width="12.25" style="1" customWidth="1"/>
    <col min="10001" max="10001" width="10.125" style="1" customWidth="1"/>
    <col min="10002" max="10002" width="14.875" style="1" customWidth="1"/>
    <col min="10003" max="10003" width="8.625" style="1" customWidth="1"/>
    <col min="10004" max="10004" width="38.125" style="1" customWidth="1"/>
    <col min="10005" max="10005" width="9" style="1" customWidth="1"/>
    <col min="10006" max="10006" width="9.25" style="1" bestFit="1" customWidth="1"/>
    <col min="10007" max="10246" width="9" style="1" customWidth="1"/>
    <col min="10247" max="10247" width="12.375" style="1" bestFit="1" customWidth="1"/>
    <col min="10248" max="10248" width="12.25" style="1" customWidth="1"/>
    <col min="10249" max="10249" width="12.75" style="1" customWidth="1"/>
    <col min="10250" max="10253" width="12.25" style="1" customWidth="1"/>
    <col min="10254" max="10254" width="13.125" style="1" customWidth="1"/>
    <col min="10255" max="10255" width="13.25" style="1" customWidth="1"/>
    <col min="10256" max="10256" width="12.25" style="1" customWidth="1"/>
    <col min="10257" max="10257" width="10.125" style="1" customWidth="1"/>
    <col min="10258" max="10258" width="14.875" style="1" customWidth="1"/>
    <col min="10259" max="10259" width="8.625" style="1" customWidth="1"/>
    <col min="10260" max="10260" width="38.125" style="1" customWidth="1"/>
    <col min="10261" max="10261" width="9" style="1" customWidth="1"/>
    <col min="10262" max="10262" width="9.25" style="1" bestFit="1" customWidth="1"/>
    <col min="10263" max="10502" width="9" style="1" customWidth="1"/>
    <col min="10503" max="10503" width="12.375" style="1" bestFit="1" customWidth="1"/>
    <col min="10504" max="10504" width="12.25" style="1" customWidth="1"/>
    <col min="10505" max="10505" width="12.75" style="1" customWidth="1"/>
    <col min="10506" max="10509" width="12.25" style="1" customWidth="1"/>
    <col min="10510" max="10510" width="13.125" style="1" customWidth="1"/>
    <col min="10511" max="10511" width="13.25" style="1" customWidth="1"/>
    <col min="10512" max="10512" width="12.25" style="1" customWidth="1"/>
    <col min="10513" max="10513" width="10.125" style="1" customWidth="1"/>
    <col min="10514" max="10514" width="14.875" style="1" customWidth="1"/>
    <col min="10515" max="10515" width="8.625" style="1" customWidth="1"/>
    <col min="10516" max="10516" width="38.125" style="1" customWidth="1"/>
    <col min="10517" max="10517" width="9" style="1" customWidth="1"/>
    <col min="10518" max="10518" width="9.25" style="1" bestFit="1" customWidth="1"/>
    <col min="10519" max="10758" width="9" style="1" customWidth="1"/>
    <col min="10759" max="10759" width="12.375" style="1" bestFit="1" customWidth="1"/>
    <col min="10760" max="10760" width="12.25" style="1" customWidth="1"/>
    <col min="10761" max="10761" width="12.75" style="1" customWidth="1"/>
    <col min="10762" max="10765" width="12.25" style="1" customWidth="1"/>
    <col min="10766" max="10766" width="13.125" style="1" customWidth="1"/>
    <col min="10767" max="10767" width="13.25" style="1" customWidth="1"/>
    <col min="10768" max="10768" width="12.25" style="1" customWidth="1"/>
    <col min="10769" max="10769" width="10.125" style="1" customWidth="1"/>
    <col min="10770" max="10770" width="14.875" style="1" customWidth="1"/>
    <col min="10771" max="10771" width="8.625" style="1" customWidth="1"/>
    <col min="10772" max="10772" width="38.125" style="1" customWidth="1"/>
    <col min="10773" max="10773" width="9" style="1" customWidth="1"/>
    <col min="10774" max="10774" width="9.25" style="1" bestFit="1" customWidth="1"/>
    <col min="10775" max="11014" width="9" style="1" customWidth="1"/>
    <col min="11015" max="11015" width="12.375" style="1" bestFit="1" customWidth="1"/>
    <col min="11016" max="11016" width="12.25" style="1" customWidth="1"/>
    <col min="11017" max="11017" width="12.75" style="1" customWidth="1"/>
    <col min="11018" max="11021" width="12.25" style="1" customWidth="1"/>
    <col min="11022" max="11022" width="13.125" style="1" customWidth="1"/>
    <col min="11023" max="11023" width="13.25" style="1" customWidth="1"/>
    <col min="11024" max="11024" width="12.25" style="1" customWidth="1"/>
    <col min="11025" max="11025" width="10.125" style="1" customWidth="1"/>
    <col min="11026" max="11026" width="14.875" style="1" customWidth="1"/>
    <col min="11027" max="11027" width="8.625" style="1" customWidth="1"/>
    <col min="11028" max="11028" width="38.125" style="1" customWidth="1"/>
    <col min="11029" max="11029" width="9" style="1" customWidth="1"/>
    <col min="11030" max="11030" width="9.25" style="1" bestFit="1" customWidth="1"/>
    <col min="11031" max="11270" width="9" style="1" customWidth="1"/>
    <col min="11271" max="11271" width="12.375" style="1" bestFit="1" customWidth="1"/>
    <col min="11272" max="11272" width="12.25" style="1" customWidth="1"/>
    <col min="11273" max="11273" width="12.75" style="1" customWidth="1"/>
    <col min="11274" max="11277" width="12.25" style="1" customWidth="1"/>
    <col min="11278" max="11278" width="13.125" style="1" customWidth="1"/>
    <col min="11279" max="11279" width="13.25" style="1" customWidth="1"/>
    <col min="11280" max="11280" width="12.25" style="1" customWidth="1"/>
    <col min="11281" max="11281" width="10.125" style="1" customWidth="1"/>
    <col min="11282" max="11282" width="14.875" style="1" customWidth="1"/>
    <col min="11283" max="11283" width="8.625" style="1" customWidth="1"/>
    <col min="11284" max="11284" width="38.125" style="1" customWidth="1"/>
    <col min="11285" max="11285" width="9" style="1" customWidth="1"/>
    <col min="11286" max="11286" width="9.25" style="1" bestFit="1" customWidth="1"/>
    <col min="11287" max="11526" width="9" style="1" customWidth="1"/>
    <col min="11527" max="11527" width="12.375" style="1" bestFit="1" customWidth="1"/>
    <col min="11528" max="11528" width="12.25" style="1" customWidth="1"/>
    <col min="11529" max="11529" width="12.75" style="1" customWidth="1"/>
    <col min="11530" max="11533" width="12.25" style="1" customWidth="1"/>
    <col min="11534" max="11534" width="13.125" style="1" customWidth="1"/>
    <col min="11535" max="11535" width="13.25" style="1" customWidth="1"/>
    <col min="11536" max="11536" width="12.25" style="1" customWidth="1"/>
    <col min="11537" max="11537" width="10.125" style="1" customWidth="1"/>
    <col min="11538" max="11538" width="14.875" style="1" customWidth="1"/>
    <col min="11539" max="11539" width="8.625" style="1" customWidth="1"/>
    <col min="11540" max="11540" width="38.125" style="1" customWidth="1"/>
    <col min="11541" max="11541" width="9" style="1" customWidth="1"/>
    <col min="11542" max="11542" width="9.25" style="1" bestFit="1" customWidth="1"/>
    <col min="11543" max="11782" width="9" style="1" customWidth="1"/>
    <col min="11783" max="11783" width="12.375" style="1" bestFit="1" customWidth="1"/>
    <col min="11784" max="11784" width="12.25" style="1" customWidth="1"/>
    <col min="11785" max="11785" width="12.75" style="1" customWidth="1"/>
    <col min="11786" max="11789" width="12.25" style="1" customWidth="1"/>
    <col min="11790" max="11790" width="13.125" style="1" customWidth="1"/>
    <col min="11791" max="11791" width="13.25" style="1" customWidth="1"/>
    <col min="11792" max="11792" width="12.25" style="1" customWidth="1"/>
    <col min="11793" max="11793" width="10.125" style="1" customWidth="1"/>
    <col min="11794" max="11794" width="14.875" style="1" customWidth="1"/>
    <col min="11795" max="11795" width="8.625" style="1" customWidth="1"/>
    <col min="11796" max="11796" width="38.125" style="1" customWidth="1"/>
    <col min="11797" max="11797" width="9" style="1" customWidth="1"/>
    <col min="11798" max="11798" width="9.25" style="1" bestFit="1" customWidth="1"/>
    <col min="11799" max="12038" width="9" style="1" customWidth="1"/>
    <col min="12039" max="12039" width="12.375" style="1" bestFit="1" customWidth="1"/>
    <col min="12040" max="12040" width="12.25" style="1" customWidth="1"/>
    <col min="12041" max="12041" width="12.75" style="1" customWidth="1"/>
    <col min="12042" max="12045" width="12.25" style="1" customWidth="1"/>
    <col min="12046" max="12046" width="13.125" style="1" customWidth="1"/>
    <col min="12047" max="12047" width="13.25" style="1" customWidth="1"/>
    <col min="12048" max="12048" width="12.25" style="1" customWidth="1"/>
    <col min="12049" max="12049" width="10.125" style="1" customWidth="1"/>
    <col min="12050" max="12050" width="14.875" style="1" customWidth="1"/>
    <col min="12051" max="12051" width="8.625" style="1" customWidth="1"/>
    <col min="12052" max="12052" width="38.125" style="1" customWidth="1"/>
    <col min="12053" max="12053" width="9" style="1" customWidth="1"/>
    <col min="12054" max="12054" width="9.25" style="1" bestFit="1" customWidth="1"/>
    <col min="12055" max="12294" width="9" style="1" customWidth="1"/>
    <col min="12295" max="12295" width="12.375" style="1" bestFit="1" customWidth="1"/>
    <col min="12296" max="12296" width="12.25" style="1" customWidth="1"/>
    <col min="12297" max="12297" width="12.75" style="1" customWidth="1"/>
    <col min="12298" max="12301" width="12.25" style="1" customWidth="1"/>
    <col min="12302" max="12302" width="13.125" style="1" customWidth="1"/>
    <col min="12303" max="12303" width="13.25" style="1" customWidth="1"/>
    <col min="12304" max="12304" width="12.25" style="1" customWidth="1"/>
    <col min="12305" max="12305" width="10.125" style="1" customWidth="1"/>
    <col min="12306" max="12306" width="14.875" style="1" customWidth="1"/>
    <col min="12307" max="12307" width="8.625" style="1" customWidth="1"/>
    <col min="12308" max="12308" width="38.125" style="1" customWidth="1"/>
    <col min="12309" max="12309" width="9" style="1" customWidth="1"/>
    <col min="12310" max="12310" width="9.25" style="1" bestFit="1" customWidth="1"/>
    <col min="12311" max="12550" width="9" style="1" customWidth="1"/>
    <col min="12551" max="12551" width="12.375" style="1" bestFit="1" customWidth="1"/>
    <col min="12552" max="12552" width="12.25" style="1" customWidth="1"/>
    <col min="12553" max="12553" width="12.75" style="1" customWidth="1"/>
    <col min="12554" max="12557" width="12.25" style="1" customWidth="1"/>
    <col min="12558" max="12558" width="13.125" style="1" customWidth="1"/>
    <col min="12559" max="12559" width="13.25" style="1" customWidth="1"/>
    <col min="12560" max="12560" width="12.25" style="1" customWidth="1"/>
    <col min="12561" max="12561" width="10.125" style="1" customWidth="1"/>
    <col min="12562" max="12562" width="14.875" style="1" customWidth="1"/>
    <col min="12563" max="12563" width="8.625" style="1" customWidth="1"/>
    <col min="12564" max="12564" width="38.125" style="1" customWidth="1"/>
    <col min="12565" max="12565" width="9" style="1" customWidth="1"/>
    <col min="12566" max="12566" width="9.25" style="1" bestFit="1" customWidth="1"/>
    <col min="12567" max="12806" width="9" style="1" customWidth="1"/>
    <col min="12807" max="12807" width="12.375" style="1" bestFit="1" customWidth="1"/>
    <col min="12808" max="12808" width="12.25" style="1" customWidth="1"/>
    <col min="12809" max="12809" width="12.75" style="1" customWidth="1"/>
    <col min="12810" max="12813" width="12.25" style="1" customWidth="1"/>
    <col min="12814" max="12814" width="13.125" style="1" customWidth="1"/>
    <col min="12815" max="12815" width="13.25" style="1" customWidth="1"/>
    <col min="12816" max="12816" width="12.25" style="1" customWidth="1"/>
    <col min="12817" max="12817" width="10.125" style="1" customWidth="1"/>
    <col min="12818" max="12818" width="14.875" style="1" customWidth="1"/>
    <col min="12819" max="12819" width="8.625" style="1" customWidth="1"/>
    <col min="12820" max="12820" width="38.125" style="1" customWidth="1"/>
    <col min="12821" max="12821" width="9" style="1" customWidth="1"/>
    <col min="12822" max="12822" width="9.25" style="1" bestFit="1" customWidth="1"/>
    <col min="12823" max="13062" width="9" style="1" customWidth="1"/>
    <col min="13063" max="13063" width="12.375" style="1" bestFit="1" customWidth="1"/>
    <col min="13064" max="13064" width="12.25" style="1" customWidth="1"/>
    <col min="13065" max="13065" width="12.75" style="1" customWidth="1"/>
    <col min="13066" max="13069" width="12.25" style="1" customWidth="1"/>
    <col min="13070" max="13070" width="13.125" style="1" customWidth="1"/>
    <col min="13071" max="13071" width="13.25" style="1" customWidth="1"/>
    <col min="13072" max="13072" width="12.25" style="1" customWidth="1"/>
    <col min="13073" max="13073" width="10.125" style="1" customWidth="1"/>
    <col min="13074" max="13074" width="14.875" style="1" customWidth="1"/>
    <col min="13075" max="13075" width="8.625" style="1" customWidth="1"/>
    <col min="13076" max="13076" width="38.125" style="1" customWidth="1"/>
    <col min="13077" max="13077" width="9" style="1" customWidth="1"/>
    <col min="13078" max="13078" width="9.25" style="1" bestFit="1" customWidth="1"/>
    <col min="13079" max="13318" width="9" style="1" customWidth="1"/>
    <col min="13319" max="13319" width="12.375" style="1" bestFit="1" customWidth="1"/>
    <col min="13320" max="13320" width="12.25" style="1" customWidth="1"/>
    <col min="13321" max="13321" width="12.75" style="1" customWidth="1"/>
    <col min="13322" max="13325" width="12.25" style="1" customWidth="1"/>
    <col min="13326" max="13326" width="13.125" style="1" customWidth="1"/>
    <col min="13327" max="13327" width="13.25" style="1" customWidth="1"/>
    <col min="13328" max="13328" width="12.25" style="1" customWidth="1"/>
    <col min="13329" max="13329" width="10.125" style="1" customWidth="1"/>
    <col min="13330" max="13330" width="14.875" style="1" customWidth="1"/>
    <col min="13331" max="13331" width="8.625" style="1" customWidth="1"/>
    <col min="13332" max="13332" width="38.125" style="1" customWidth="1"/>
    <col min="13333" max="13333" width="9" style="1" customWidth="1"/>
    <col min="13334" max="13334" width="9.25" style="1" bestFit="1" customWidth="1"/>
    <col min="13335" max="13574" width="9" style="1" customWidth="1"/>
    <col min="13575" max="13575" width="12.375" style="1" bestFit="1" customWidth="1"/>
    <col min="13576" max="13576" width="12.25" style="1" customWidth="1"/>
    <col min="13577" max="13577" width="12.75" style="1" customWidth="1"/>
    <col min="13578" max="13581" width="12.25" style="1" customWidth="1"/>
    <col min="13582" max="13582" width="13.125" style="1" customWidth="1"/>
    <col min="13583" max="13583" width="13.25" style="1" customWidth="1"/>
    <col min="13584" max="13584" width="12.25" style="1" customWidth="1"/>
    <col min="13585" max="13585" width="10.125" style="1" customWidth="1"/>
    <col min="13586" max="13586" width="14.875" style="1" customWidth="1"/>
    <col min="13587" max="13587" width="8.625" style="1" customWidth="1"/>
    <col min="13588" max="13588" width="38.125" style="1" customWidth="1"/>
    <col min="13589" max="13589" width="9" style="1" customWidth="1"/>
    <col min="13590" max="13590" width="9.25" style="1" bestFit="1" customWidth="1"/>
    <col min="13591" max="13830" width="9" style="1" customWidth="1"/>
    <col min="13831" max="13831" width="12.375" style="1" bestFit="1" customWidth="1"/>
    <col min="13832" max="13832" width="12.25" style="1" customWidth="1"/>
    <col min="13833" max="13833" width="12.75" style="1" customWidth="1"/>
    <col min="13834" max="13837" width="12.25" style="1" customWidth="1"/>
    <col min="13838" max="13838" width="13.125" style="1" customWidth="1"/>
    <col min="13839" max="13839" width="13.25" style="1" customWidth="1"/>
    <col min="13840" max="13840" width="12.25" style="1" customWidth="1"/>
    <col min="13841" max="13841" width="10.125" style="1" customWidth="1"/>
    <col min="13842" max="13842" width="14.875" style="1" customWidth="1"/>
    <col min="13843" max="13843" width="8.625" style="1" customWidth="1"/>
    <col min="13844" max="13844" width="38.125" style="1" customWidth="1"/>
    <col min="13845" max="13845" width="9" style="1" customWidth="1"/>
    <col min="13846" max="13846" width="9.25" style="1" bestFit="1" customWidth="1"/>
    <col min="13847" max="14086" width="9" style="1" customWidth="1"/>
    <col min="14087" max="14087" width="12.375" style="1" bestFit="1" customWidth="1"/>
    <col min="14088" max="14088" width="12.25" style="1" customWidth="1"/>
    <col min="14089" max="14089" width="12.75" style="1" customWidth="1"/>
    <col min="14090" max="14093" width="12.25" style="1" customWidth="1"/>
    <col min="14094" max="14094" width="13.125" style="1" customWidth="1"/>
    <col min="14095" max="14095" width="13.25" style="1" customWidth="1"/>
    <col min="14096" max="14096" width="12.25" style="1" customWidth="1"/>
    <col min="14097" max="14097" width="10.125" style="1" customWidth="1"/>
    <col min="14098" max="14098" width="14.875" style="1" customWidth="1"/>
    <col min="14099" max="14099" width="8.625" style="1" customWidth="1"/>
    <col min="14100" max="14100" width="38.125" style="1" customWidth="1"/>
    <col min="14101" max="14101" width="9" style="1" customWidth="1"/>
    <col min="14102" max="14102" width="9.25" style="1" bestFit="1" customWidth="1"/>
    <col min="14103" max="14342" width="9" style="1" customWidth="1"/>
    <col min="14343" max="14343" width="12.375" style="1" bestFit="1" customWidth="1"/>
    <col min="14344" max="14344" width="12.25" style="1" customWidth="1"/>
    <col min="14345" max="14345" width="12.75" style="1" customWidth="1"/>
    <col min="14346" max="14349" width="12.25" style="1" customWidth="1"/>
    <col min="14350" max="14350" width="13.125" style="1" customWidth="1"/>
    <col min="14351" max="14351" width="13.25" style="1" customWidth="1"/>
    <col min="14352" max="14352" width="12.25" style="1" customWidth="1"/>
    <col min="14353" max="14353" width="10.125" style="1" customWidth="1"/>
    <col min="14354" max="14354" width="14.875" style="1" customWidth="1"/>
    <col min="14355" max="14355" width="8.625" style="1" customWidth="1"/>
    <col min="14356" max="14356" width="38.125" style="1" customWidth="1"/>
    <col min="14357" max="14357" width="9" style="1" customWidth="1"/>
    <col min="14358" max="14358" width="9.25" style="1" bestFit="1" customWidth="1"/>
    <col min="14359" max="14598" width="9" style="1" customWidth="1"/>
    <col min="14599" max="14599" width="12.375" style="1" bestFit="1" customWidth="1"/>
    <col min="14600" max="14600" width="12.25" style="1" customWidth="1"/>
    <col min="14601" max="14601" width="12.75" style="1" customWidth="1"/>
    <col min="14602" max="14605" width="12.25" style="1" customWidth="1"/>
    <col min="14606" max="14606" width="13.125" style="1" customWidth="1"/>
    <col min="14607" max="14607" width="13.25" style="1" customWidth="1"/>
    <col min="14608" max="14608" width="12.25" style="1" customWidth="1"/>
    <col min="14609" max="14609" width="10.125" style="1" customWidth="1"/>
    <col min="14610" max="14610" width="14.875" style="1" customWidth="1"/>
    <col min="14611" max="14611" width="8.625" style="1" customWidth="1"/>
    <col min="14612" max="14612" width="38.125" style="1" customWidth="1"/>
    <col min="14613" max="14613" width="9" style="1" customWidth="1"/>
    <col min="14614" max="14614" width="9.25" style="1" bestFit="1" customWidth="1"/>
    <col min="14615" max="14854" width="9" style="1" customWidth="1"/>
    <col min="14855" max="14855" width="12.375" style="1" bestFit="1" customWidth="1"/>
    <col min="14856" max="14856" width="12.25" style="1" customWidth="1"/>
    <col min="14857" max="14857" width="12.75" style="1" customWidth="1"/>
    <col min="14858" max="14861" width="12.25" style="1" customWidth="1"/>
    <col min="14862" max="14862" width="13.125" style="1" customWidth="1"/>
    <col min="14863" max="14863" width="13.25" style="1" customWidth="1"/>
    <col min="14864" max="14864" width="12.25" style="1" customWidth="1"/>
    <col min="14865" max="14865" width="10.125" style="1" customWidth="1"/>
    <col min="14866" max="14866" width="14.875" style="1" customWidth="1"/>
    <col min="14867" max="14867" width="8.625" style="1" customWidth="1"/>
    <col min="14868" max="14868" width="38.125" style="1" customWidth="1"/>
    <col min="14869" max="14869" width="9" style="1" customWidth="1"/>
    <col min="14870" max="14870" width="9.25" style="1" bestFit="1" customWidth="1"/>
    <col min="14871" max="15110" width="9" style="1" customWidth="1"/>
    <col min="15111" max="15111" width="12.375" style="1" bestFit="1" customWidth="1"/>
    <col min="15112" max="15112" width="12.25" style="1" customWidth="1"/>
    <col min="15113" max="15113" width="12.75" style="1" customWidth="1"/>
    <col min="15114" max="15117" width="12.25" style="1" customWidth="1"/>
    <col min="15118" max="15118" width="13.125" style="1" customWidth="1"/>
    <col min="15119" max="15119" width="13.25" style="1" customWidth="1"/>
    <col min="15120" max="15120" width="12.25" style="1" customWidth="1"/>
    <col min="15121" max="15121" width="10.125" style="1" customWidth="1"/>
    <col min="15122" max="15122" width="14.875" style="1" customWidth="1"/>
    <col min="15123" max="15123" width="8.625" style="1" customWidth="1"/>
    <col min="15124" max="15124" width="38.125" style="1" customWidth="1"/>
    <col min="15125" max="15125" width="9" style="1" customWidth="1"/>
    <col min="15126" max="15126" width="9.25" style="1" bestFit="1" customWidth="1"/>
    <col min="15127" max="15366" width="9" style="1" customWidth="1"/>
    <col min="15367" max="15367" width="12.375" style="1" bestFit="1" customWidth="1"/>
    <col min="15368" max="15368" width="12.25" style="1" customWidth="1"/>
    <col min="15369" max="15369" width="12.75" style="1" customWidth="1"/>
    <col min="15370" max="15373" width="12.25" style="1" customWidth="1"/>
    <col min="15374" max="15374" width="13.125" style="1" customWidth="1"/>
    <col min="15375" max="15375" width="13.25" style="1" customWidth="1"/>
    <col min="15376" max="15376" width="12.25" style="1" customWidth="1"/>
    <col min="15377" max="15377" width="10.125" style="1" customWidth="1"/>
    <col min="15378" max="15378" width="14.875" style="1" customWidth="1"/>
    <col min="15379" max="15379" width="8.625" style="1" customWidth="1"/>
    <col min="15380" max="15380" width="38.125" style="1" customWidth="1"/>
    <col min="15381" max="15381" width="9" style="1" customWidth="1"/>
    <col min="15382" max="15382" width="9.25" style="1" bestFit="1" customWidth="1"/>
    <col min="15383" max="15622" width="9" style="1" customWidth="1"/>
    <col min="15623" max="15623" width="12.375" style="1" bestFit="1" customWidth="1"/>
    <col min="15624" max="15624" width="12.25" style="1" customWidth="1"/>
    <col min="15625" max="15625" width="12.75" style="1" customWidth="1"/>
    <col min="15626" max="15629" width="12.25" style="1" customWidth="1"/>
    <col min="15630" max="15630" width="13.125" style="1" customWidth="1"/>
    <col min="15631" max="15631" width="13.25" style="1" customWidth="1"/>
    <col min="15632" max="15632" width="12.25" style="1" customWidth="1"/>
    <col min="15633" max="15633" width="10.125" style="1" customWidth="1"/>
    <col min="15634" max="15634" width="14.875" style="1" customWidth="1"/>
    <col min="15635" max="15635" width="8.625" style="1" customWidth="1"/>
    <col min="15636" max="15636" width="38.125" style="1" customWidth="1"/>
    <col min="15637" max="15637" width="9" style="1" customWidth="1"/>
    <col min="15638" max="15638" width="9.25" style="1" bestFit="1" customWidth="1"/>
    <col min="15639" max="15878" width="9" style="1" customWidth="1"/>
    <col min="15879" max="15879" width="12.375" style="1" bestFit="1" customWidth="1"/>
    <col min="15880" max="15880" width="12.25" style="1" customWidth="1"/>
    <col min="15881" max="15881" width="12.75" style="1" customWidth="1"/>
    <col min="15882" max="15885" width="12.25" style="1" customWidth="1"/>
    <col min="15886" max="15886" width="13.125" style="1" customWidth="1"/>
    <col min="15887" max="15887" width="13.25" style="1" customWidth="1"/>
    <col min="15888" max="15888" width="12.25" style="1" customWidth="1"/>
    <col min="15889" max="15889" width="10.125" style="1" customWidth="1"/>
    <col min="15890" max="15890" width="14.875" style="1" customWidth="1"/>
    <col min="15891" max="15891" width="8.625" style="1" customWidth="1"/>
    <col min="15892" max="15892" width="38.125" style="1" customWidth="1"/>
    <col min="15893" max="15893" width="9" style="1" customWidth="1"/>
    <col min="15894" max="15894" width="9.25" style="1" bestFit="1" customWidth="1"/>
    <col min="15895" max="16134" width="9" style="1" customWidth="1"/>
    <col min="16135" max="16135" width="12.375" style="1" bestFit="1" customWidth="1"/>
    <col min="16136" max="16136" width="12.25" style="1" customWidth="1"/>
    <col min="16137" max="16137" width="12.75" style="1" customWidth="1"/>
    <col min="16138" max="16141" width="12.25" style="1" customWidth="1"/>
    <col min="16142" max="16142" width="13.125" style="1" customWidth="1"/>
    <col min="16143" max="16143" width="13.25" style="1" customWidth="1"/>
    <col min="16144" max="16144" width="12.25" style="1" customWidth="1"/>
    <col min="16145" max="16145" width="10.125" style="1" customWidth="1"/>
    <col min="16146" max="16146" width="14.875" style="1" customWidth="1"/>
    <col min="16147" max="16147" width="8.625" style="1" customWidth="1"/>
    <col min="16148" max="16148" width="38.125" style="1" customWidth="1"/>
    <col min="16149" max="16149" width="9" style="1" customWidth="1"/>
    <col min="16150" max="16150" width="9.25" style="1" bestFit="1" customWidth="1"/>
    <col min="16151" max="16384" width="9" style="1" customWidth="1"/>
  </cols>
  <sheetData>
    <row r="1" spans="1:21" ht="32.25" customHeight="1">
      <c r="R1" s="269" t="s">
        <v>72</v>
      </c>
      <c r="S1" s="273"/>
    </row>
    <row r="2" spans="1:21" ht="21" customHeight="1">
      <c r="A2" s="210" t="s">
        <v>87</v>
      </c>
      <c r="B2" s="210"/>
      <c r="C2" s="210"/>
      <c r="D2" s="210"/>
      <c r="E2" s="210"/>
      <c r="F2" s="210"/>
      <c r="G2" s="210"/>
      <c r="H2" s="210"/>
      <c r="I2" s="210"/>
      <c r="J2" s="210"/>
      <c r="K2" s="210"/>
      <c r="L2" s="210"/>
      <c r="M2" s="210"/>
      <c r="N2" s="210"/>
      <c r="O2" s="210"/>
      <c r="P2" s="210"/>
      <c r="Q2" s="210"/>
      <c r="R2" s="210"/>
      <c r="S2" s="210"/>
      <c r="T2" s="210"/>
    </row>
    <row r="3" spans="1:21" ht="20.25" customHeight="1">
      <c r="F3" s="256"/>
      <c r="G3" s="256"/>
      <c r="H3" s="256"/>
      <c r="O3" s="268" t="s">
        <v>89</v>
      </c>
      <c r="P3" s="268"/>
      <c r="Q3" s="268"/>
      <c r="R3" s="268"/>
    </row>
    <row r="4" spans="1:21" ht="27.75" customHeight="1">
      <c r="D4" s="242"/>
      <c r="L4" s="263" t="s">
        <v>153</v>
      </c>
      <c r="M4" s="263"/>
      <c r="N4" s="263"/>
      <c r="O4" s="263"/>
      <c r="P4" s="263"/>
      <c r="Q4" s="263"/>
      <c r="R4" s="263"/>
      <c r="S4" s="263"/>
    </row>
    <row r="5" spans="1:21" ht="11.25" customHeight="1">
      <c r="R5" s="55"/>
      <c r="S5" s="55"/>
      <c r="T5" s="284"/>
    </row>
    <row r="6" spans="1:21" s="7" customFormat="1" ht="19.5" customHeight="1">
      <c r="A6" s="211" t="s">
        <v>11</v>
      </c>
      <c r="B6" s="221" t="s">
        <v>22</v>
      </c>
      <c r="C6" s="231" t="s">
        <v>6</v>
      </c>
      <c r="D6" s="243" t="s">
        <v>14</v>
      </c>
      <c r="E6" s="251"/>
      <c r="F6" s="251"/>
      <c r="G6" s="251"/>
      <c r="H6" s="251"/>
      <c r="I6" s="251"/>
      <c r="J6" s="251"/>
      <c r="K6" s="251"/>
      <c r="L6" s="251"/>
      <c r="M6" s="251"/>
      <c r="N6" s="251"/>
      <c r="O6" s="251"/>
      <c r="P6" s="251"/>
      <c r="Q6" s="251"/>
      <c r="R6" s="221" t="s">
        <v>18</v>
      </c>
      <c r="S6" s="221" t="s">
        <v>21</v>
      </c>
      <c r="T6" s="7"/>
      <c r="U6" s="7"/>
    </row>
    <row r="7" spans="1:21" ht="53.25" customHeight="1">
      <c r="A7" s="211"/>
      <c r="B7" s="222"/>
      <c r="C7" s="232"/>
      <c r="D7" s="244" t="s">
        <v>23</v>
      </c>
      <c r="E7" s="231" t="s">
        <v>3</v>
      </c>
      <c r="F7" s="231" t="s">
        <v>25</v>
      </c>
      <c r="G7" s="231" t="s">
        <v>280</v>
      </c>
      <c r="H7" s="231" t="s">
        <v>26</v>
      </c>
      <c r="I7" s="231" t="s">
        <v>8</v>
      </c>
      <c r="J7" s="231" t="s">
        <v>308</v>
      </c>
      <c r="K7" s="231" t="s">
        <v>109</v>
      </c>
      <c r="L7" s="231" t="s">
        <v>310</v>
      </c>
      <c r="M7" s="231" t="s">
        <v>38</v>
      </c>
      <c r="N7" s="231" t="s">
        <v>5</v>
      </c>
      <c r="O7" s="231" t="s">
        <v>259</v>
      </c>
      <c r="P7" s="231" t="s">
        <v>50</v>
      </c>
      <c r="Q7" s="231" t="s">
        <v>15</v>
      </c>
      <c r="R7" s="270"/>
      <c r="S7" s="274"/>
      <c r="T7" s="285"/>
    </row>
    <row r="8" spans="1:21" s="7" customFormat="1" ht="24.75" customHeight="1">
      <c r="A8" s="212"/>
      <c r="B8" s="223"/>
      <c r="C8" s="233"/>
      <c r="D8" s="245"/>
      <c r="E8" s="233"/>
      <c r="F8" s="233"/>
      <c r="G8" s="233"/>
      <c r="H8" s="233"/>
      <c r="I8" s="233"/>
      <c r="J8" s="233"/>
      <c r="K8" s="233"/>
      <c r="L8" s="233"/>
      <c r="M8" s="264"/>
      <c r="N8" s="264"/>
      <c r="O8" s="264"/>
      <c r="P8" s="264"/>
      <c r="Q8" s="264"/>
      <c r="R8" s="271"/>
      <c r="S8" s="275"/>
      <c r="T8" s="7"/>
      <c r="U8" s="7"/>
    </row>
    <row r="9" spans="1:21" s="7" customFormat="1" ht="30" customHeight="1">
      <c r="A9" s="213"/>
      <c r="B9" s="224"/>
      <c r="C9" s="234"/>
      <c r="D9" s="246"/>
      <c r="E9" s="252"/>
      <c r="F9" s="252"/>
      <c r="G9" s="252"/>
      <c r="H9" s="252"/>
      <c r="I9" s="252"/>
      <c r="J9" s="252"/>
      <c r="K9" s="252"/>
      <c r="L9" s="252"/>
      <c r="M9" s="265"/>
      <c r="N9" s="265"/>
      <c r="O9" s="265"/>
      <c r="P9" s="265"/>
      <c r="Q9" s="265"/>
      <c r="R9" s="252">
        <f t="shared" ref="R9:R28" si="0">+R8+C9-SUM(D9:Q9)</f>
        <v>0</v>
      </c>
      <c r="S9" s="276"/>
      <c r="T9" s="5"/>
      <c r="U9" s="288"/>
    </row>
    <row r="10" spans="1:21" s="7" customFormat="1" ht="30" customHeight="1">
      <c r="A10" s="213"/>
      <c r="B10" s="225"/>
      <c r="C10" s="235"/>
      <c r="D10" s="246"/>
      <c r="E10" s="252"/>
      <c r="F10" s="252"/>
      <c r="G10" s="252"/>
      <c r="H10" s="252"/>
      <c r="I10" s="252"/>
      <c r="J10" s="252"/>
      <c r="K10" s="252"/>
      <c r="L10" s="252"/>
      <c r="M10" s="265"/>
      <c r="N10" s="265"/>
      <c r="O10" s="265"/>
      <c r="P10" s="265"/>
      <c r="Q10" s="265"/>
      <c r="R10" s="252">
        <f t="shared" si="0"/>
        <v>0</v>
      </c>
      <c r="S10" s="277"/>
      <c r="T10" s="7"/>
      <c r="U10" s="288"/>
    </row>
    <row r="11" spans="1:21" s="7" customFormat="1" ht="30" customHeight="1">
      <c r="A11" s="213"/>
      <c r="B11" s="225"/>
      <c r="C11" s="235"/>
      <c r="D11" s="246"/>
      <c r="E11" s="252"/>
      <c r="F11" s="252"/>
      <c r="G11" s="252"/>
      <c r="H11" s="252"/>
      <c r="I11" s="252"/>
      <c r="J11" s="252"/>
      <c r="K11" s="252"/>
      <c r="L11" s="252"/>
      <c r="M11" s="265"/>
      <c r="N11" s="265"/>
      <c r="O11" s="265"/>
      <c r="P11" s="265"/>
      <c r="Q11" s="265"/>
      <c r="R11" s="252">
        <f t="shared" si="0"/>
        <v>0</v>
      </c>
      <c r="S11" s="277"/>
      <c r="T11" s="7"/>
      <c r="U11" s="288"/>
    </row>
    <row r="12" spans="1:21" s="7" customFormat="1" ht="30" customHeight="1">
      <c r="A12" s="213"/>
      <c r="B12" s="225"/>
      <c r="C12" s="235"/>
      <c r="D12" s="246"/>
      <c r="E12" s="252"/>
      <c r="F12" s="252"/>
      <c r="G12" s="252"/>
      <c r="H12" s="252"/>
      <c r="I12" s="252"/>
      <c r="J12" s="252"/>
      <c r="K12" s="252"/>
      <c r="L12" s="252"/>
      <c r="M12" s="265"/>
      <c r="N12" s="265"/>
      <c r="O12" s="265"/>
      <c r="P12" s="265"/>
      <c r="Q12" s="265"/>
      <c r="R12" s="252">
        <f t="shared" si="0"/>
        <v>0</v>
      </c>
      <c r="S12" s="277"/>
      <c r="T12" s="7"/>
      <c r="U12" s="288"/>
    </row>
    <row r="13" spans="1:21" s="7" customFormat="1" ht="30" customHeight="1">
      <c r="A13" s="213"/>
      <c r="B13" s="226"/>
      <c r="C13" s="235"/>
      <c r="D13" s="246"/>
      <c r="E13" s="252"/>
      <c r="F13" s="252"/>
      <c r="G13" s="252"/>
      <c r="H13" s="252"/>
      <c r="I13" s="252"/>
      <c r="J13" s="252"/>
      <c r="K13" s="252"/>
      <c r="L13" s="252"/>
      <c r="M13" s="265"/>
      <c r="N13" s="265"/>
      <c r="O13" s="265"/>
      <c r="P13" s="265"/>
      <c r="Q13" s="265"/>
      <c r="R13" s="252">
        <f t="shared" si="0"/>
        <v>0</v>
      </c>
      <c r="S13" s="277"/>
      <c r="T13" s="7"/>
      <c r="U13" s="288"/>
    </row>
    <row r="14" spans="1:21" s="7" customFormat="1" ht="30" customHeight="1">
      <c r="A14" s="213"/>
      <c r="B14" s="225"/>
      <c r="C14" s="235"/>
      <c r="D14" s="246"/>
      <c r="E14" s="252"/>
      <c r="F14" s="252"/>
      <c r="G14" s="252"/>
      <c r="H14" s="252"/>
      <c r="I14" s="252"/>
      <c r="J14" s="252"/>
      <c r="K14" s="252"/>
      <c r="L14" s="252"/>
      <c r="M14" s="265"/>
      <c r="N14" s="265"/>
      <c r="O14" s="265"/>
      <c r="P14" s="265"/>
      <c r="Q14" s="265"/>
      <c r="R14" s="252">
        <f t="shared" si="0"/>
        <v>0</v>
      </c>
      <c r="S14" s="277"/>
      <c r="T14" s="7"/>
      <c r="U14" s="289"/>
    </row>
    <row r="15" spans="1:21" s="7" customFormat="1" ht="30" customHeight="1">
      <c r="A15" s="213"/>
      <c r="B15" s="226"/>
      <c r="C15" s="235"/>
      <c r="D15" s="246"/>
      <c r="E15" s="252"/>
      <c r="F15" s="252"/>
      <c r="G15" s="252"/>
      <c r="H15" s="252"/>
      <c r="I15" s="252"/>
      <c r="J15" s="252"/>
      <c r="K15" s="252"/>
      <c r="L15" s="252"/>
      <c r="M15" s="265"/>
      <c r="N15" s="265"/>
      <c r="O15" s="265"/>
      <c r="P15" s="265"/>
      <c r="Q15" s="265"/>
      <c r="R15" s="252">
        <f t="shared" si="0"/>
        <v>0</v>
      </c>
      <c r="S15" s="277"/>
      <c r="T15" s="7"/>
      <c r="U15" s="288"/>
    </row>
    <row r="16" spans="1:21" s="7" customFormat="1" ht="30" customHeight="1">
      <c r="A16" s="213"/>
      <c r="B16" s="226"/>
      <c r="C16" s="235"/>
      <c r="D16" s="246"/>
      <c r="E16" s="252"/>
      <c r="F16" s="252"/>
      <c r="G16" s="252"/>
      <c r="H16" s="252"/>
      <c r="I16" s="252"/>
      <c r="J16" s="252"/>
      <c r="K16" s="252"/>
      <c r="L16" s="252"/>
      <c r="M16" s="265"/>
      <c r="N16" s="265"/>
      <c r="O16" s="265"/>
      <c r="P16" s="265"/>
      <c r="Q16" s="265"/>
      <c r="R16" s="252">
        <f t="shared" si="0"/>
        <v>0</v>
      </c>
      <c r="S16" s="277"/>
      <c r="T16" s="7"/>
      <c r="U16" s="289"/>
    </row>
    <row r="17" spans="1:21" s="7" customFormat="1" ht="30" customHeight="1">
      <c r="A17" s="213"/>
      <c r="B17" s="226"/>
      <c r="C17" s="235"/>
      <c r="D17" s="246"/>
      <c r="E17" s="252"/>
      <c r="F17" s="252"/>
      <c r="G17" s="252"/>
      <c r="H17" s="252"/>
      <c r="I17" s="252"/>
      <c r="J17" s="252"/>
      <c r="K17" s="252"/>
      <c r="L17" s="252"/>
      <c r="M17" s="265"/>
      <c r="N17" s="265"/>
      <c r="O17" s="265"/>
      <c r="P17" s="265"/>
      <c r="Q17" s="265"/>
      <c r="R17" s="252">
        <f t="shared" si="0"/>
        <v>0</v>
      </c>
      <c r="S17" s="277"/>
      <c r="T17" s="7"/>
      <c r="U17" s="288"/>
    </row>
    <row r="18" spans="1:21" s="7" customFormat="1" ht="30" customHeight="1">
      <c r="A18" s="213"/>
      <c r="B18" s="226"/>
      <c r="C18" s="235"/>
      <c r="D18" s="246"/>
      <c r="E18" s="252"/>
      <c r="F18" s="252"/>
      <c r="G18" s="252"/>
      <c r="H18" s="252"/>
      <c r="I18" s="252"/>
      <c r="J18" s="252"/>
      <c r="K18" s="252"/>
      <c r="L18" s="252"/>
      <c r="M18" s="265"/>
      <c r="N18" s="265"/>
      <c r="O18" s="265"/>
      <c r="P18" s="265"/>
      <c r="Q18" s="265"/>
      <c r="R18" s="252">
        <f t="shared" si="0"/>
        <v>0</v>
      </c>
      <c r="S18" s="277"/>
      <c r="T18" s="7"/>
      <c r="U18" s="288"/>
    </row>
    <row r="19" spans="1:21" s="7" customFormat="1" ht="30" customHeight="1">
      <c r="A19" s="213"/>
      <c r="B19" s="225"/>
      <c r="C19" s="235"/>
      <c r="D19" s="246"/>
      <c r="E19" s="252"/>
      <c r="F19" s="252"/>
      <c r="G19" s="252"/>
      <c r="H19" s="252"/>
      <c r="I19" s="252"/>
      <c r="J19" s="252"/>
      <c r="K19" s="252"/>
      <c r="L19" s="252"/>
      <c r="M19" s="265"/>
      <c r="N19" s="265"/>
      <c r="O19" s="265"/>
      <c r="P19" s="265"/>
      <c r="Q19" s="265"/>
      <c r="R19" s="252">
        <f t="shared" si="0"/>
        <v>0</v>
      </c>
      <c r="S19" s="277"/>
      <c r="T19" s="7"/>
      <c r="U19" s="288"/>
    </row>
    <row r="20" spans="1:21" s="7" customFormat="1" ht="30" customHeight="1">
      <c r="A20" s="213"/>
      <c r="B20" s="225"/>
      <c r="C20" s="235"/>
      <c r="D20" s="246"/>
      <c r="E20" s="252"/>
      <c r="F20" s="252"/>
      <c r="G20" s="252"/>
      <c r="H20" s="252"/>
      <c r="I20" s="252"/>
      <c r="J20" s="252"/>
      <c r="K20" s="252"/>
      <c r="L20" s="252"/>
      <c r="M20" s="265"/>
      <c r="N20" s="265"/>
      <c r="O20" s="265"/>
      <c r="P20" s="265"/>
      <c r="Q20" s="265"/>
      <c r="R20" s="252">
        <f t="shared" si="0"/>
        <v>0</v>
      </c>
      <c r="S20" s="277"/>
      <c r="T20" s="7"/>
      <c r="U20" s="288"/>
    </row>
    <row r="21" spans="1:21" s="7" customFormat="1" ht="30" customHeight="1">
      <c r="A21" s="213"/>
      <c r="B21" s="226"/>
      <c r="C21" s="235"/>
      <c r="D21" s="246"/>
      <c r="E21" s="252"/>
      <c r="F21" s="252"/>
      <c r="G21" s="252"/>
      <c r="H21" s="252"/>
      <c r="I21" s="252"/>
      <c r="J21" s="252"/>
      <c r="K21" s="252"/>
      <c r="L21" s="252"/>
      <c r="M21" s="265"/>
      <c r="N21" s="265"/>
      <c r="O21" s="265"/>
      <c r="P21" s="265"/>
      <c r="Q21" s="265"/>
      <c r="R21" s="252">
        <f t="shared" si="0"/>
        <v>0</v>
      </c>
      <c r="S21" s="277"/>
      <c r="T21" s="7"/>
      <c r="U21" s="288"/>
    </row>
    <row r="22" spans="1:21" s="7" customFormat="1" ht="30" customHeight="1">
      <c r="A22" s="213"/>
      <c r="B22" s="225"/>
      <c r="C22" s="235"/>
      <c r="D22" s="246"/>
      <c r="E22" s="252"/>
      <c r="F22" s="252"/>
      <c r="G22" s="252"/>
      <c r="H22" s="252"/>
      <c r="I22" s="252"/>
      <c r="J22" s="252"/>
      <c r="K22" s="252"/>
      <c r="L22" s="252"/>
      <c r="M22" s="265"/>
      <c r="N22" s="265"/>
      <c r="O22" s="265"/>
      <c r="P22" s="265"/>
      <c r="Q22" s="265"/>
      <c r="R22" s="252">
        <f t="shared" si="0"/>
        <v>0</v>
      </c>
      <c r="S22" s="277"/>
      <c r="T22" s="7"/>
      <c r="U22" s="288"/>
    </row>
    <row r="23" spans="1:21" s="7" customFormat="1" ht="30" customHeight="1">
      <c r="A23" s="213"/>
      <c r="B23" s="225"/>
      <c r="C23" s="235"/>
      <c r="D23" s="246"/>
      <c r="E23" s="252"/>
      <c r="F23" s="252"/>
      <c r="G23" s="252"/>
      <c r="H23" s="252"/>
      <c r="I23" s="252"/>
      <c r="J23" s="252"/>
      <c r="K23" s="252"/>
      <c r="L23" s="252"/>
      <c r="M23" s="265"/>
      <c r="N23" s="265"/>
      <c r="O23" s="265"/>
      <c r="P23" s="265"/>
      <c r="Q23" s="265"/>
      <c r="R23" s="252">
        <f t="shared" si="0"/>
        <v>0</v>
      </c>
      <c r="S23" s="277"/>
      <c r="T23" s="7"/>
      <c r="U23" s="288"/>
    </row>
    <row r="24" spans="1:21" s="7" customFormat="1" ht="30" customHeight="1">
      <c r="A24" s="213"/>
      <c r="B24" s="225"/>
      <c r="C24" s="235"/>
      <c r="D24" s="246"/>
      <c r="E24" s="252"/>
      <c r="F24" s="252"/>
      <c r="G24" s="252"/>
      <c r="H24" s="252"/>
      <c r="I24" s="252"/>
      <c r="J24" s="252"/>
      <c r="K24" s="252"/>
      <c r="L24" s="252"/>
      <c r="M24" s="265"/>
      <c r="N24" s="265"/>
      <c r="O24" s="265"/>
      <c r="P24" s="265"/>
      <c r="Q24" s="265"/>
      <c r="R24" s="252">
        <f t="shared" si="0"/>
        <v>0</v>
      </c>
      <c r="S24" s="277"/>
      <c r="T24" s="7"/>
      <c r="U24" s="288"/>
    </row>
    <row r="25" spans="1:21" s="7" customFormat="1" ht="30" customHeight="1">
      <c r="A25" s="213"/>
      <c r="B25" s="225"/>
      <c r="C25" s="235"/>
      <c r="D25" s="246"/>
      <c r="E25" s="252"/>
      <c r="F25" s="252"/>
      <c r="G25" s="252"/>
      <c r="H25" s="252"/>
      <c r="I25" s="252"/>
      <c r="J25" s="252"/>
      <c r="K25" s="252"/>
      <c r="L25" s="252"/>
      <c r="M25" s="265"/>
      <c r="N25" s="265"/>
      <c r="O25" s="265"/>
      <c r="P25" s="265"/>
      <c r="Q25" s="265"/>
      <c r="R25" s="252">
        <f t="shared" si="0"/>
        <v>0</v>
      </c>
      <c r="S25" s="277"/>
      <c r="T25" s="7"/>
      <c r="U25" s="288"/>
    </row>
    <row r="26" spans="1:21" s="7" customFormat="1" ht="30" customHeight="1">
      <c r="A26" s="213"/>
      <c r="B26" s="225"/>
      <c r="C26" s="235"/>
      <c r="D26" s="246"/>
      <c r="E26" s="252"/>
      <c r="F26" s="252"/>
      <c r="G26" s="252"/>
      <c r="H26" s="252"/>
      <c r="I26" s="252"/>
      <c r="J26" s="252"/>
      <c r="K26" s="252"/>
      <c r="L26" s="252"/>
      <c r="M26" s="265"/>
      <c r="N26" s="265"/>
      <c r="O26" s="265"/>
      <c r="P26" s="265"/>
      <c r="Q26" s="265"/>
      <c r="R26" s="252">
        <f t="shared" si="0"/>
        <v>0</v>
      </c>
      <c r="S26" s="277"/>
      <c r="T26" s="7"/>
      <c r="U26" s="288"/>
    </row>
    <row r="27" spans="1:21" s="7" customFormat="1" ht="30" customHeight="1">
      <c r="A27" s="213"/>
      <c r="B27" s="225"/>
      <c r="C27" s="236"/>
      <c r="D27" s="247"/>
      <c r="E27" s="253"/>
      <c r="F27" s="253"/>
      <c r="G27" s="253"/>
      <c r="H27" s="253"/>
      <c r="I27" s="253"/>
      <c r="J27" s="253"/>
      <c r="K27" s="253"/>
      <c r="L27" s="253"/>
      <c r="M27" s="266"/>
      <c r="N27" s="266"/>
      <c r="O27" s="266"/>
      <c r="P27" s="266"/>
      <c r="Q27" s="266"/>
      <c r="R27" s="252">
        <f t="shared" si="0"/>
        <v>0</v>
      </c>
      <c r="S27" s="278"/>
      <c r="T27" s="7"/>
      <c r="U27" s="288"/>
    </row>
    <row r="28" spans="1:21" s="7" customFormat="1" ht="30" customHeight="1">
      <c r="A28" s="212"/>
      <c r="B28" s="227"/>
      <c r="C28" s="237"/>
      <c r="D28" s="248"/>
      <c r="E28" s="254"/>
      <c r="F28" s="254"/>
      <c r="G28" s="254"/>
      <c r="H28" s="254"/>
      <c r="I28" s="254"/>
      <c r="J28" s="254"/>
      <c r="K28" s="254"/>
      <c r="L28" s="254"/>
      <c r="M28" s="267"/>
      <c r="N28" s="267"/>
      <c r="O28" s="267"/>
      <c r="P28" s="267"/>
      <c r="Q28" s="267"/>
      <c r="R28" s="252">
        <f t="shared" si="0"/>
        <v>0</v>
      </c>
      <c r="S28" s="279"/>
      <c r="T28" s="7"/>
      <c r="U28" s="288"/>
    </row>
    <row r="29" spans="1:21" s="7" customFormat="1" ht="30" customHeight="1">
      <c r="A29" s="214" t="s">
        <v>0</v>
      </c>
      <c r="B29" s="228"/>
      <c r="C29" s="238">
        <f t="shared" ref="C29:Q29" si="1">SUM(C9:C28)</f>
        <v>0</v>
      </c>
      <c r="D29" s="249">
        <f t="shared" si="1"/>
        <v>0</v>
      </c>
      <c r="E29" s="238">
        <f t="shared" si="1"/>
        <v>0</v>
      </c>
      <c r="F29" s="238">
        <f t="shared" si="1"/>
        <v>0</v>
      </c>
      <c r="G29" s="238">
        <f t="shared" si="1"/>
        <v>0</v>
      </c>
      <c r="H29" s="238">
        <f t="shared" si="1"/>
        <v>0</v>
      </c>
      <c r="I29" s="238">
        <f t="shared" si="1"/>
        <v>0</v>
      </c>
      <c r="J29" s="238">
        <f t="shared" si="1"/>
        <v>0</v>
      </c>
      <c r="K29" s="238">
        <f t="shared" si="1"/>
        <v>0</v>
      </c>
      <c r="L29" s="238">
        <f t="shared" si="1"/>
        <v>0</v>
      </c>
      <c r="M29" s="238">
        <f t="shared" si="1"/>
        <v>0</v>
      </c>
      <c r="N29" s="238">
        <f t="shared" si="1"/>
        <v>0</v>
      </c>
      <c r="O29" s="238">
        <f t="shared" si="1"/>
        <v>0</v>
      </c>
      <c r="P29" s="238">
        <f t="shared" si="1"/>
        <v>0</v>
      </c>
      <c r="Q29" s="238">
        <f t="shared" si="1"/>
        <v>0</v>
      </c>
      <c r="R29" s="272"/>
      <c r="S29" s="228"/>
      <c r="T29" s="286"/>
      <c r="U29" s="288"/>
    </row>
    <row r="30" spans="1:21" ht="30" customHeight="1"/>
    <row r="31" spans="1:21" ht="24">
      <c r="A31" s="215" t="s">
        <v>41</v>
      </c>
      <c r="B31" s="215"/>
      <c r="C31" s="215"/>
    </row>
    <row r="32" spans="1:21" s="208" customFormat="1" ht="18.75">
      <c r="A32" s="216" t="s">
        <v>278</v>
      </c>
      <c r="C32" s="216"/>
      <c r="D32" s="250"/>
      <c r="E32" s="250"/>
      <c r="F32" s="250"/>
    </row>
    <row r="33" spans="1:20" s="208" customFormat="1" ht="22.5" customHeight="1">
      <c r="A33" s="216" t="s">
        <v>42</v>
      </c>
      <c r="C33" s="216"/>
      <c r="D33" s="250"/>
      <c r="E33" s="250"/>
      <c r="F33" s="250"/>
    </row>
    <row r="34" spans="1:20" s="208" customFormat="1" ht="18.75" customHeight="1">
      <c r="A34" s="217" t="s">
        <v>46</v>
      </c>
      <c r="B34" s="217"/>
      <c r="C34" s="217"/>
      <c r="D34" s="217"/>
      <c r="E34" s="217"/>
      <c r="F34" s="217"/>
      <c r="G34" s="217"/>
      <c r="H34" s="217"/>
      <c r="I34" s="217"/>
      <c r="J34" s="217"/>
      <c r="K34" s="217"/>
      <c r="L34" s="217"/>
      <c r="M34" s="217"/>
      <c r="N34" s="217"/>
      <c r="O34" s="217"/>
      <c r="P34" s="217"/>
      <c r="Q34" s="217"/>
      <c r="R34" s="217"/>
      <c r="S34" s="217"/>
      <c r="T34" s="287"/>
    </row>
    <row r="35" spans="1:20" s="208" customFormat="1" ht="24.75" customHeight="1">
      <c r="A35" s="217"/>
      <c r="B35" s="217"/>
      <c r="C35" s="217"/>
      <c r="D35" s="217"/>
      <c r="E35" s="217"/>
      <c r="F35" s="217"/>
      <c r="G35" s="217"/>
      <c r="H35" s="217"/>
      <c r="I35" s="217"/>
      <c r="J35" s="217"/>
      <c r="K35" s="217"/>
      <c r="L35" s="217"/>
      <c r="M35" s="217"/>
      <c r="N35" s="217"/>
      <c r="O35" s="217"/>
      <c r="P35" s="217"/>
      <c r="Q35" s="217"/>
      <c r="R35" s="217"/>
      <c r="S35" s="217"/>
      <c r="T35" s="287"/>
    </row>
    <row r="36" spans="1:20" s="208" customFormat="1" ht="18.75">
      <c r="A36" s="218" t="s">
        <v>284</v>
      </c>
      <c r="B36" s="218"/>
      <c r="C36" s="218"/>
      <c r="D36" s="218"/>
      <c r="E36" s="218"/>
      <c r="F36" s="218"/>
      <c r="G36" s="218"/>
      <c r="H36" s="218"/>
      <c r="I36" s="218"/>
      <c r="J36" s="218"/>
      <c r="K36" s="218"/>
      <c r="L36" s="218"/>
      <c r="M36" s="218"/>
      <c r="N36" s="218"/>
      <c r="O36" s="218"/>
      <c r="P36" s="218"/>
      <c r="Q36" s="218"/>
      <c r="R36" s="218"/>
      <c r="S36" s="280"/>
    </row>
    <row r="37" spans="1:20" s="208" customFormat="1" ht="18.75">
      <c r="A37" s="218" t="s">
        <v>336</v>
      </c>
      <c r="B37" s="218"/>
      <c r="C37" s="218"/>
      <c r="D37" s="218"/>
      <c r="E37" s="218"/>
      <c r="F37" s="218"/>
      <c r="G37" s="218"/>
      <c r="H37" s="218"/>
      <c r="I37" s="218"/>
      <c r="J37" s="218"/>
      <c r="K37" s="218"/>
      <c r="L37" s="218"/>
      <c r="M37" s="218"/>
      <c r="N37" s="218"/>
      <c r="O37" s="218"/>
      <c r="P37" s="218"/>
      <c r="Q37" s="218"/>
      <c r="R37" s="218"/>
      <c r="S37" s="280"/>
    </row>
    <row r="38" spans="1:20" s="208" customFormat="1" ht="18.75">
      <c r="A38" s="218" t="s">
        <v>337</v>
      </c>
      <c r="B38" s="218"/>
      <c r="C38" s="218"/>
      <c r="D38" s="218"/>
      <c r="E38" s="218"/>
      <c r="F38" s="218"/>
      <c r="G38" s="218"/>
      <c r="H38" s="218"/>
      <c r="I38" s="218"/>
      <c r="J38" s="218"/>
      <c r="K38" s="218"/>
      <c r="L38" s="218"/>
      <c r="M38" s="218"/>
      <c r="N38" s="218"/>
      <c r="O38" s="218"/>
      <c r="P38" s="218"/>
      <c r="Q38" s="218"/>
      <c r="R38" s="218"/>
      <c r="S38" s="280"/>
    </row>
    <row r="39" spans="1:20" ht="23.25" customHeight="1">
      <c r="A39" s="219"/>
      <c r="B39" s="218" t="s">
        <v>47</v>
      </c>
      <c r="C39" s="239"/>
      <c r="D39" s="239"/>
      <c r="E39" s="239"/>
      <c r="F39" s="239"/>
      <c r="G39" s="239"/>
      <c r="H39" s="239"/>
      <c r="I39" s="239"/>
      <c r="J39" s="239"/>
      <c r="K39" s="239"/>
      <c r="L39" s="239"/>
      <c r="M39" s="239"/>
      <c r="N39" s="239"/>
      <c r="O39" s="239"/>
      <c r="P39" s="239"/>
      <c r="Q39" s="239"/>
      <c r="R39" s="239"/>
      <c r="S39" s="239"/>
    </row>
    <row r="40" spans="1:20" ht="20.100000000000001" customHeight="1">
      <c r="B40" s="229"/>
      <c r="C40" s="240" t="s">
        <v>49</v>
      </c>
      <c r="D40" s="240"/>
      <c r="E40" s="240" t="s">
        <v>19</v>
      </c>
      <c r="F40" s="240"/>
      <c r="G40" s="240"/>
      <c r="H40" s="240"/>
      <c r="I40" s="240"/>
      <c r="J40" s="257" t="s">
        <v>51</v>
      </c>
      <c r="K40" s="260"/>
      <c r="L40" s="260"/>
      <c r="M40" s="260"/>
      <c r="N40" s="260"/>
      <c r="O40" s="260"/>
      <c r="P40" s="260"/>
      <c r="Q40" s="260"/>
      <c r="R40" s="260"/>
      <c r="S40" s="281"/>
    </row>
    <row r="41" spans="1:20" s="209" customFormat="1" ht="19.5" customHeight="1">
      <c r="A41" s="220"/>
      <c r="B41" s="230" t="s">
        <v>1</v>
      </c>
      <c r="C41" s="241" t="s">
        <v>40</v>
      </c>
      <c r="D41" s="241"/>
      <c r="E41" s="255" t="s">
        <v>54</v>
      </c>
      <c r="F41" s="255"/>
      <c r="G41" s="255"/>
      <c r="H41" s="255"/>
      <c r="I41" s="255"/>
      <c r="J41" s="258" t="s">
        <v>158</v>
      </c>
      <c r="K41" s="261"/>
      <c r="L41" s="261"/>
      <c r="M41" s="261"/>
      <c r="N41" s="261"/>
      <c r="O41" s="261"/>
      <c r="P41" s="261"/>
      <c r="Q41" s="261"/>
      <c r="R41" s="261"/>
      <c r="S41" s="282"/>
    </row>
    <row r="42" spans="1:20" s="209" customFormat="1" ht="18.75" customHeight="1">
      <c r="A42" s="220"/>
      <c r="B42" s="230" t="s">
        <v>55</v>
      </c>
      <c r="C42" s="241" t="s">
        <v>23</v>
      </c>
      <c r="D42" s="241"/>
      <c r="E42" s="255" t="s">
        <v>36</v>
      </c>
      <c r="F42" s="255"/>
      <c r="G42" s="255"/>
      <c r="H42" s="255"/>
      <c r="I42" s="255"/>
      <c r="J42" s="258" t="s">
        <v>56</v>
      </c>
      <c r="K42" s="261"/>
      <c r="L42" s="261"/>
      <c r="M42" s="261"/>
      <c r="N42" s="261"/>
      <c r="O42" s="261"/>
      <c r="P42" s="261"/>
      <c r="Q42" s="261"/>
      <c r="R42" s="261"/>
      <c r="S42" s="282"/>
    </row>
    <row r="43" spans="1:20" s="209" customFormat="1" ht="17.25">
      <c r="A43" s="220"/>
      <c r="B43" s="230"/>
      <c r="C43" s="241" t="s">
        <v>3</v>
      </c>
      <c r="D43" s="241"/>
      <c r="E43" s="255" t="s">
        <v>57</v>
      </c>
      <c r="F43" s="255"/>
      <c r="G43" s="255"/>
      <c r="H43" s="255"/>
      <c r="I43" s="255"/>
      <c r="J43" s="258" t="s">
        <v>265</v>
      </c>
      <c r="K43" s="261"/>
      <c r="L43" s="261"/>
      <c r="M43" s="261"/>
      <c r="N43" s="261"/>
      <c r="O43" s="261"/>
      <c r="P43" s="261"/>
      <c r="Q43" s="261"/>
      <c r="R43" s="261"/>
      <c r="S43" s="282"/>
    </row>
    <row r="44" spans="1:20" s="209" customFormat="1" ht="17.25">
      <c r="A44" s="220"/>
      <c r="B44" s="230"/>
      <c r="C44" s="241" t="s">
        <v>25</v>
      </c>
      <c r="D44" s="241"/>
      <c r="E44" s="255" t="s">
        <v>266</v>
      </c>
      <c r="F44" s="255"/>
      <c r="G44" s="255"/>
      <c r="H44" s="255"/>
      <c r="I44" s="255"/>
      <c r="J44" s="258" t="s">
        <v>267</v>
      </c>
      <c r="K44" s="261"/>
      <c r="L44" s="261"/>
      <c r="M44" s="261"/>
      <c r="N44" s="261"/>
      <c r="O44" s="261"/>
      <c r="P44" s="261"/>
      <c r="Q44" s="261"/>
      <c r="R44" s="261"/>
      <c r="S44" s="282"/>
    </row>
    <row r="45" spans="1:20" s="209" customFormat="1" ht="17.25">
      <c r="A45" s="220"/>
      <c r="B45" s="230"/>
      <c r="C45" s="241" t="s">
        <v>326</v>
      </c>
      <c r="D45" s="241"/>
      <c r="E45" s="255" t="s">
        <v>58</v>
      </c>
      <c r="F45" s="255"/>
      <c r="G45" s="255"/>
      <c r="H45" s="255"/>
      <c r="I45" s="255"/>
      <c r="J45" s="258" t="s">
        <v>257</v>
      </c>
      <c r="K45" s="261"/>
      <c r="L45" s="261"/>
      <c r="M45" s="261"/>
      <c r="N45" s="261"/>
      <c r="O45" s="261"/>
      <c r="P45" s="261"/>
      <c r="Q45" s="261"/>
      <c r="R45" s="261"/>
      <c r="S45" s="282"/>
    </row>
    <row r="46" spans="1:20" s="209" customFormat="1" ht="17.25">
      <c r="A46" s="220"/>
      <c r="B46" s="230"/>
      <c r="C46" s="241" t="s">
        <v>13</v>
      </c>
      <c r="D46" s="241"/>
      <c r="E46" s="255" t="s">
        <v>59</v>
      </c>
      <c r="F46" s="255"/>
      <c r="G46" s="255"/>
      <c r="H46" s="255"/>
      <c r="I46" s="255"/>
      <c r="J46" s="258" t="s">
        <v>173</v>
      </c>
      <c r="K46" s="261"/>
      <c r="L46" s="261"/>
      <c r="M46" s="261"/>
      <c r="N46" s="261"/>
      <c r="O46" s="261"/>
      <c r="P46" s="261"/>
      <c r="Q46" s="261"/>
      <c r="R46" s="261"/>
      <c r="S46" s="282"/>
    </row>
    <row r="47" spans="1:20" s="209" customFormat="1" ht="17.25">
      <c r="A47" s="220"/>
      <c r="B47" s="230"/>
      <c r="C47" s="241" t="s">
        <v>61</v>
      </c>
      <c r="D47" s="241"/>
      <c r="E47" s="255" t="s">
        <v>62</v>
      </c>
      <c r="F47" s="255"/>
      <c r="G47" s="255"/>
      <c r="H47" s="255"/>
      <c r="I47" s="255"/>
      <c r="J47" s="258" t="s">
        <v>52</v>
      </c>
      <c r="K47" s="261"/>
      <c r="L47" s="261"/>
      <c r="M47" s="261"/>
      <c r="N47" s="261"/>
      <c r="O47" s="261"/>
      <c r="P47" s="261"/>
      <c r="Q47" s="261"/>
      <c r="R47" s="261"/>
      <c r="S47" s="282"/>
    </row>
    <row r="48" spans="1:20" s="209" customFormat="1" ht="17.25">
      <c r="A48" s="220"/>
      <c r="B48" s="230"/>
      <c r="C48" s="241" t="s">
        <v>66</v>
      </c>
      <c r="D48" s="241"/>
      <c r="E48" s="255" t="s">
        <v>43</v>
      </c>
      <c r="F48" s="255"/>
      <c r="G48" s="255"/>
      <c r="H48" s="255"/>
      <c r="I48" s="255"/>
      <c r="J48" s="258" t="s">
        <v>252</v>
      </c>
      <c r="K48" s="261"/>
      <c r="L48" s="261"/>
      <c r="M48" s="261"/>
      <c r="N48" s="261"/>
      <c r="O48" s="261"/>
      <c r="P48" s="261"/>
      <c r="Q48" s="261"/>
      <c r="R48" s="261"/>
      <c r="S48" s="282"/>
    </row>
    <row r="49" spans="1:19" s="209" customFormat="1" ht="17.25">
      <c r="A49" s="220"/>
      <c r="B49" s="230"/>
      <c r="C49" s="241" t="s">
        <v>92</v>
      </c>
      <c r="D49" s="241"/>
      <c r="E49" s="255" t="s">
        <v>325</v>
      </c>
      <c r="F49" s="255"/>
      <c r="G49" s="255"/>
      <c r="H49" s="255"/>
      <c r="I49" s="255"/>
      <c r="J49" s="259" t="s">
        <v>273</v>
      </c>
      <c r="K49" s="262"/>
      <c r="L49" s="262"/>
      <c r="M49" s="262"/>
      <c r="N49" s="262"/>
      <c r="O49" s="262"/>
      <c r="P49" s="262"/>
      <c r="Q49" s="262"/>
      <c r="R49" s="262"/>
      <c r="S49" s="283"/>
    </row>
    <row r="50" spans="1:19" s="209" customFormat="1" ht="17.25">
      <c r="A50" s="220"/>
      <c r="B50" s="230"/>
      <c r="C50" s="241" t="s">
        <v>68</v>
      </c>
      <c r="D50" s="241"/>
      <c r="E50" s="255" t="s">
        <v>17</v>
      </c>
      <c r="F50" s="255"/>
      <c r="G50" s="255"/>
      <c r="H50" s="255"/>
      <c r="I50" s="255"/>
      <c r="J50" s="258" t="s">
        <v>65</v>
      </c>
      <c r="K50" s="261"/>
      <c r="L50" s="261"/>
      <c r="M50" s="261"/>
      <c r="N50" s="261"/>
      <c r="O50" s="261"/>
      <c r="P50" s="261"/>
      <c r="Q50" s="261"/>
      <c r="R50" s="261"/>
      <c r="S50" s="282"/>
    </row>
    <row r="51" spans="1:19" s="209" customFormat="1" ht="17.25">
      <c r="A51" s="220"/>
      <c r="B51" s="230"/>
      <c r="C51" s="241" t="s">
        <v>261</v>
      </c>
      <c r="D51" s="241"/>
      <c r="E51" s="255" t="s">
        <v>262</v>
      </c>
      <c r="F51" s="255"/>
      <c r="G51" s="255"/>
      <c r="H51" s="255"/>
      <c r="I51" s="255"/>
      <c r="J51" s="258" t="s">
        <v>264</v>
      </c>
      <c r="K51" s="261"/>
      <c r="L51" s="261"/>
      <c r="M51" s="261"/>
      <c r="N51" s="261"/>
      <c r="O51" s="261"/>
      <c r="P51" s="261"/>
      <c r="Q51" s="261"/>
      <c r="R51" s="261"/>
      <c r="S51" s="282"/>
    </row>
    <row r="52" spans="1:19" s="209" customFormat="1" ht="17.25">
      <c r="A52" s="220"/>
      <c r="B52" s="230"/>
      <c r="C52" s="241" t="s">
        <v>97</v>
      </c>
      <c r="D52" s="241"/>
      <c r="E52" s="255" t="s">
        <v>161</v>
      </c>
      <c r="F52" s="255"/>
      <c r="G52" s="255"/>
      <c r="H52" s="255"/>
      <c r="I52" s="255"/>
      <c r="J52" s="258"/>
      <c r="K52" s="261"/>
      <c r="L52" s="261"/>
      <c r="M52" s="261"/>
      <c r="N52" s="261"/>
      <c r="O52" s="261"/>
      <c r="P52" s="261"/>
      <c r="Q52" s="261"/>
      <c r="R52" s="261"/>
      <c r="S52" s="282"/>
    </row>
    <row r="53" spans="1:19" s="209" customFormat="1" ht="17.25">
      <c r="A53" s="220"/>
      <c r="B53" s="230"/>
      <c r="C53" s="241" t="s">
        <v>260</v>
      </c>
      <c r="D53" s="241"/>
      <c r="E53" s="255" t="s">
        <v>154</v>
      </c>
      <c r="F53" s="255"/>
      <c r="G53" s="255"/>
      <c r="H53" s="255"/>
      <c r="I53" s="255"/>
      <c r="J53" s="258" t="s">
        <v>268</v>
      </c>
      <c r="K53" s="261"/>
      <c r="L53" s="261"/>
      <c r="M53" s="261"/>
      <c r="N53" s="261"/>
      <c r="O53" s="261"/>
      <c r="P53" s="261"/>
      <c r="Q53" s="261"/>
      <c r="R53" s="261"/>
      <c r="S53" s="282"/>
    </row>
    <row r="54" spans="1:19" s="209" customFormat="1" ht="17.25">
      <c r="A54" s="220"/>
      <c r="B54" s="230"/>
      <c r="C54" s="241" t="s">
        <v>98</v>
      </c>
      <c r="D54" s="241"/>
      <c r="E54" s="255" t="s">
        <v>269</v>
      </c>
      <c r="F54" s="255"/>
      <c r="G54" s="255"/>
      <c r="H54" s="255"/>
      <c r="I54" s="255"/>
      <c r="J54" s="258" t="s">
        <v>270</v>
      </c>
      <c r="K54" s="261"/>
      <c r="L54" s="261"/>
      <c r="M54" s="261"/>
      <c r="N54" s="261"/>
      <c r="O54" s="261"/>
      <c r="P54" s="261"/>
      <c r="Q54" s="261"/>
      <c r="R54" s="261"/>
      <c r="S54" s="282"/>
    </row>
    <row r="55" spans="1:19" s="209" customFormat="1" ht="19.5" customHeight="1">
      <c r="A55" s="220"/>
      <c r="B55" s="230"/>
      <c r="C55" s="241" t="s">
        <v>15</v>
      </c>
      <c r="D55" s="241"/>
      <c r="E55" s="255" t="s">
        <v>271</v>
      </c>
      <c r="F55" s="255"/>
      <c r="G55" s="255"/>
      <c r="H55" s="255"/>
      <c r="I55" s="255"/>
      <c r="J55" s="259" t="s">
        <v>20</v>
      </c>
      <c r="K55" s="262"/>
      <c r="L55" s="262"/>
      <c r="M55" s="262"/>
      <c r="N55" s="262"/>
      <c r="O55" s="262"/>
      <c r="P55" s="262"/>
      <c r="Q55" s="262"/>
      <c r="R55" s="262"/>
      <c r="S55" s="283"/>
    </row>
    <row r="56" spans="1:19" s="209" customFormat="1" ht="14.25">
      <c r="A56" s="220"/>
      <c r="B56" s="220"/>
    </row>
    <row r="57" spans="1:19" ht="33" customHeight="1"/>
    <row r="58" spans="1:19" ht="33" customHeight="1">
      <c r="B58" s="1"/>
    </row>
    <row r="59" spans="1:19" ht="33" customHeight="1">
      <c r="B59" s="1"/>
    </row>
    <row r="60" spans="1:19" ht="33" customHeight="1">
      <c r="B60" s="1"/>
    </row>
    <row r="61" spans="1:19" ht="33" customHeight="1">
      <c r="B61" s="1"/>
    </row>
    <row r="62" spans="1:19" ht="33" customHeight="1">
      <c r="B62" s="1"/>
    </row>
    <row r="63" spans="1:19" ht="33" customHeight="1">
      <c r="B63" s="1"/>
    </row>
    <row r="64" spans="1:19" ht="33" customHeight="1">
      <c r="B64" s="1"/>
    </row>
    <row r="65" spans="3:22" s="207" customFormat="1" ht="33" customHeight="1">
      <c r="U65" s="1"/>
      <c r="V65" s="1"/>
    </row>
    <row r="66" spans="3:22" s="207" customFormat="1" ht="33" customHeight="1">
      <c r="U66" s="1"/>
      <c r="V66" s="1"/>
    </row>
    <row r="67" spans="3:22" s="207" customFormat="1" ht="33" customHeight="1">
      <c r="T67" s="1"/>
      <c r="U67" s="1"/>
      <c r="V67" s="1"/>
    </row>
    <row r="68" spans="3:22" s="207" customFormat="1" ht="33" customHeight="1">
      <c r="T68" s="1"/>
      <c r="U68" s="1"/>
      <c r="V68" s="1"/>
    </row>
    <row r="69" spans="3:22" s="207" customFormat="1" ht="33" customHeight="1">
      <c r="T69" s="1"/>
      <c r="U69" s="1"/>
      <c r="V69" s="1"/>
    </row>
    <row r="70" spans="3:22" s="207" customFormat="1" ht="33" customHeight="1">
      <c r="C70" s="1"/>
      <c r="D70" s="1"/>
      <c r="E70" s="1"/>
      <c r="F70" s="1"/>
      <c r="G70" s="1"/>
      <c r="H70" s="1"/>
      <c r="I70" s="1"/>
      <c r="J70" s="1"/>
      <c r="K70" s="1"/>
      <c r="L70" s="1"/>
      <c r="M70" s="1"/>
      <c r="N70" s="1"/>
      <c r="O70" s="1"/>
      <c r="P70" s="1"/>
      <c r="Q70" s="1"/>
      <c r="R70" s="1"/>
      <c r="S70" s="1"/>
      <c r="T70" s="1"/>
      <c r="U70" s="1"/>
      <c r="V70" s="1"/>
    </row>
  </sheetData>
  <mergeCells count="60">
    <mergeCell ref="A2:T2"/>
    <mergeCell ref="O3:R3"/>
    <mergeCell ref="L4:S4"/>
    <mergeCell ref="D6:Q6"/>
    <mergeCell ref="A31:C31"/>
    <mergeCell ref="C40:D40"/>
    <mergeCell ref="E40:I40"/>
    <mergeCell ref="J40:S40"/>
    <mergeCell ref="C41:D41"/>
    <mergeCell ref="E41:I41"/>
    <mergeCell ref="J41:S41"/>
    <mergeCell ref="C42:D42"/>
    <mergeCell ref="E42:I42"/>
    <mergeCell ref="J42:S42"/>
    <mergeCell ref="C43:D43"/>
    <mergeCell ref="E43:I43"/>
    <mergeCell ref="J43:S43"/>
    <mergeCell ref="C44:D44"/>
    <mergeCell ref="E44:I44"/>
    <mergeCell ref="J44:S44"/>
    <mergeCell ref="C45:D45"/>
    <mergeCell ref="E45:I45"/>
    <mergeCell ref="J45:S45"/>
    <mergeCell ref="C46:D46"/>
    <mergeCell ref="E46:I46"/>
    <mergeCell ref="J46:S46"/>
    <mergeCell ref="C47:D47"/>
    <mergeCell ref="E47:I47"/>
    <mergeCell ref="J47:S47"/>
    <mergeCell ref="C48:D48"/>
    <mergeCell ref="E48:I48"/>
    <mergeCell ref="J48:S48"/>
    <mergeCell ref="C49:D49"/>
    <mergeCell ref="E49:I49"/>
    <mergeCell ref="J49:S49"/>
    <mergeCell ref="C50:D50"/>
    <mergeCell ref="E50:I50"/>
    <mergeCell ref="J50:S50"/>
    <mergeCell ref="C51:D51"/>
    <mergeCell ref="E51:I51"/>
    <mergeCell ref="J51:S51"/>
    <mergeCell ref="C52:D52"/>
    <mergeCell ref="E52:I52"/>
    <mergeCell ref="J52:S52"/>
    <mergeCell ref="C53:D53"/>
    <mergeCell ref="E53:I53"/>
    <mergeCell ref="J53:S53"/>
    <mergeCell ref="C54:D54"/>
    <mergeCell ref="E54:I54"/>
    <mergeCell ref="J54:S54"/>
    <mergeCell ref="C55:D55"/>
    <mergeCell ref="E55:I55"/>
    <mergeCell ref="J55:S55"/>
    <mergeCell ref="A6:A7"/>
    <mergeCell ref="B6:B7"/>
    <mergeCell ref="C6:C7"/>
    <mergeCell ref="R6:R7"/>
    <mergeCell ref="S6:S7"/>
    <mergeCell ref="A34:S35"/>
    <mergeCell ref="B42:B55"/>
  </mergeCells>
  <phoneticPr fontId="7"/>
  <conditionalFormatting sqref="D9:R28 C29:Q29">
    <cfRule type="cellIs" dxfId="3" priority="1" stopIfTrue="1" operator="equal">
      <formula>0</formula>
    </cfRule>
  </conditionalFormatting>
  <printOptions horizontalCentered="1"/>
  <pageMargins left="0.19685039370078741" right="0.19685039370078741" top="0.62992125984251968" bottom="0.19685039370078741" header="0.31496062992125984" footer="0.15748031496062992"/>
  <pageSetup paperSize="9" scale="55" fitToWidth="1" fitToHeight="1" orientation="landscape" usePrinterDefaults="1" r:id="rId1"/>
  <headerFooter>
    <oddFooter>&amp;R&amp;A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V69"/>
  <sheetViews>
    <sheetView view="pageBreakPreview" zoomScale="60" zoomScaleNormal="70" workbookViewId="0">
      <selection activeCell="R21" sqref="R21"/>
    </sheetView>
  </sheetViews>
  <sheetFormatPr defaultRowHeight="13.5"/>
  <cols>
    <col min="1" max="1" width="12.375" style="219" bestFit="1" customWidth="1"/>
    <col min="2" max="2" width="34.875" style="219" customWidth="1"/>
    <col min="3" max="3" width="13.75" style="239" customWidth="1"/>
    <col min="4" max="17" width="10.75" style="239" customWidth="1"/>
    <col min="18" max="18" width="13.625" style="239" customWidth="1"/>
    <col min="19" max="19" width="11.125" style="239" customWidth="1"/>
    <col min="20" max="20" width="17.125" style="239" customWidth="1"/>
    <col min="21" max="21" width="9" style="239" customWidth="1"/>
    <col min="22" max="22" width="9.25" style="239" bestFit="1" customWidth="1"/>
    <col min="23" max="262" width="9" style="239" customWidth="1"/>
    <col min="263" max="263" width="12.375" style="239" bestFit="1" customWidth="1"/>
    <col min="264" max="264" width="12.25" style="239" customWidth="1"/>
    <col min="265" max="265" width="12.75" style="239" customWidth="1"/>
    <col min="266" max="269" width="12.25" style="239" customWidth="1"/>
    <col min="270" max="270" width="13.125" style="239" customWidth="1"/>
    <col min="271" max="271" width="13.25" style="239" customWidth="1"/>
    <col min="272" max="272" width="12.25" style="239" customWidth="1"/>
    <col min="273" max="273" width="10.125" style="239" customWidth="1"/>
    <col min="274" max="274" width="14.875" style="239" customWidth="1"/>
    <col min="275" max="275" width="8.625" style="239" customWidth="1"/>
    <col min="276" max="276" width="38.125" style="239" customWidth="1"/>
    <col min="277" max="277" width="9" style="239" customWidth="1"/>
    <col min="278" max="278" width="9.25" style="239" bestFit="1" customWidth="1"/>
    <col min="279" max="518" width="9" style="239" customWidth="1"/>
    <col min="519" max="519" width="12.375" style="239" bestFit="1" customWidth="1"/>
    <col min="520" max="520" width="12.25" style="239" customWidth="1"/>
    <col min="521" max="521" width="12.75" style="239" customWidth="1"/>
    <col min="522" max="525" width="12.25" style="239" customWidth="1"/>
    <col min="526" max="526" width="13.125" style="239" customWidth="1"/>
    <col min="527" max="527" width="13.25" style="239" customWidth="1"/>
    <col min="528" max="528" width="12.25" style="239" customWidth="1"/>
    <col min="529" max="529" width="10.125" style="239" customWidth="1"/>
    <col min="530" max="530" width="14.875" style="239" customWidth="1"/>
    <col min="531" max="531" width="8.625" style="239" customWidth="1"/>
    <col min="532" max="532" width="38.125" style="239" customWidth="1"/>
    <col min="533" max="533" width="9" style="239" customWidth="1"/>
    <col min="534" max="534" width="9.25" style="239" bestFit="1" customWidth="1"/>
    <col min="535" max="774" width="9" style="239" customWidth="1"/>
    <col min="775" max="775" width="12.375" style="239" bestFit="1" customWidth="1"/>
    <col min="776" max="776" width="12.25" style="239" customWidth="1"/>
    <col min="777" max="777" width="12.75" style="239" customWidth="1"/>
    <col min="778" max="781" width="12.25" style="239" customWidth="1"/>
    <col min="782" max="782" width="13.125" style="239" customWidth="1"/>
    <col min="783" max="783" width="13.25" style="239" customWidth="1"/>
    <col min="784" max="784" width="12.25" style="239" customWidth="1"/>
    <col min="785" max="785" width="10.125" style="239" customWidth="1"/>
    <col min="786" max="786" width="14.875" style="239" customWidth="1"/>
    <col min="787" max="787" width="8.625" style="239" customWidth="1"/>
    <col min="788" max="788" width="38.125" style="239" customWidth="1"/>
    <col min="789" max="789" width="9" style="239" customWidth="1"/>
    <col min="790" max="790" width="9.25" style="239" bestFit="1" customWidth="1"/>
    <col min="791" max="1030" width="9" style="239" customWidth="1"/>
    <col min="1031" max="1031" width="12.375" style="239" bestFit="1" customWidth="1"/>
    <col min="1032" max="1032" width="12.25" style="239" customWidth="1"/>
    <col min="1033" max="1033" width="12.75" style="239" customWidth="1"/>
    <col min="1034" max="1037" width="12.25" style="239" customWidth="1"/>
    <col min="1038" max="1038" width="13.125" style="239" customWidth="1"/>
    <col min="1039" max="1039" width="13.25" style="239" customWidth="1"/>
    <col min="1040" max="1040" width="12.25" style="239" customWidth="1"/>
    <col min="1041" max="1041" width="10.125" style="239" customWidth="1"/>
    <col min="1042" max="1042" width="14.875" style="239" customWidth="1"/>
    <col min="1043" max="1043" width="8.625" style="239" customWidth="1"/>
    <col min="1044" max="1044" width="38.125" style="239" customWidth="1"/>
    <col min="1045" max="1045" width="9" style="239" customWidth="1"/>
    <col min="1046" max="1046" width="9.25" style="239" bestFit="1" customWidth="1"/>
    <col min="1047" max="1286" width="9" style="239" customWidth="1"/>
    <col min="1287" max="1287" width="12.375" style="239" bestFit="1" customWidth="1"/>
    <col min="1288" max="1288" width="12.25" style="239" customWidth="1"/>
    <col min="1289" max="1289" width="12.75" style="239" customWidth="1"/>
    <col min="1290" max="1293" width="12.25" style="239" customWidth="1"/>
    <col min="1294" max="1294" width="13.125" style="239" customWidth="1"/>
    <col min="1295" max="1295" width="13.25" style="239" customWidth="1"/>
    <col min="1296" max="1296" width="12.25" style="239" customWidth="1"/>
    <col min="1297" max="1297" width="10.125" style="239" customWidth="1"/>
    <col min="1298" max="1298" width="14.875" style="239" customWidth="1"/>
    <col min="1299" max="1299" width="8.625" style="239" customWidth="1"/>
    <col min="1300" max="1300" width="38.125" style="239" customWidth="1"/>
    <col min="1301" max="1301" width="9" style="239" customWidth="1"/>
    <col min="1302" max="1302" width="9.25" style="239" bestFit="1" customWidth="1"/>
    <col min="1303" max="1542" width="9" style="239" customWidth="1"/>
    <col min="1543" max="1543" width="12.375" style="239" bestFit="1" customWidth="1"/>
    <col min="1544" max="1544" width="12.25" style="239" customWidth="1"/>
    <col min="1545" max="1545" width="12.75" style="239" customWidth="1"/>
    <col min="1546" max="1549" width="12.25" style="239" customWidth="1"/>
    <col min="1550" max="1550" width="13.125" style="239" customWidth="1"/>
    <col min="1551" max="1551" width="13.25" style="239" customWidth="1"/>
    <col min="1552" max="1552" width="12.25" style="239" customWidth="1"/>
    <col min="1553" max="1553" width="10.125" style="239" customWidth="1"/>
    <col min="1554" max="1554" width="14.875" style="239" customWidth="1"/>
    <col min="1555" max="1555" width="8.625" style="239" customWidth="1"/>
    <col min="1556" max="1556" width="38.125" style="239" customWidth="1"/>
    <col min="1557" max="1557" width="9" style="239" customWidth="1"/>
    <col min="1558" max="1558" width="9.25" style="239" bestFit="1" customWidth="1"/>
    <col min="1559" max="1798" width="9" style="239" customWidth="1"/>
    <col min="1799" max="1799" width="12.375" style="239" bestFit="1" customWidth="1"/>
    <col min="1800" max="1800" width="12.25" style="239" customWidth="1"/>
    <col min="1801" max="1801" width="12.75" style="239" customWidth="1"/>
    <col min="1802" max="1805" width="12.25" style="239" customWidth="1"/>
    <col min="1806" max="1806" width="13.125" style="239" customWidth="1"/>
    <col min="1807" max="1807" width="13.25" style="239" customWidth="1"/>
    <col min="1808" max="1808" width="12.25" style="239" customWidth="1"/>
    <col min="1809" max="1809" width="10.125" style="239" customWidth="1"/>
    <col min="1810" max="1810" width="14.875" style="239" customWidth="1"/>
    <col min="1811" max="1811" width="8.625" style="239" customWidth="1"/>
    <col min="1812" max="1812" width="38.125" style="239" customWidth="1"/>
    <col min="1813" max="1813" width="9" style="239" customWidth="1"/>
    <col min="1814" max="1814" width="9.25" style="239" bestFit="1" customWidth="1"/>
    <col min="1815" max="2054" width="9" style="239" customWidth="1"/>
    <col min="2055" max="2055" width="12.375" style="239" bestFit="1" customWidth="1"/>
    <col min="2056" max="2056" width="12.25" style="239" customWidth="1"/>
    <col min="2057" max="2057" width="12.75" style="239" customWidth="1"/>
    <col min="2058" max="2061" width="12.25" style="239" customWidth="1"/>
    <col min="2062" max="2062" width="13.125" style="239" customWidth="1"/>
    <col min="2063" max="2063" width="13.25" style="239" customWidth="1"/>
    <col min="2064" max="2064" width="12.25" style="239" customWidth="1"/>
    <col min="2065" max="2065" width="10.125" style="239" customWidth="1"/>
    <col min="2066" max="2066" width="14.875" style="239" customWidth="1"/>
    <col min="2067" max="2067" width="8.625" style="239" customWidth="1"/>
    <col min="2068" max="2068" width="38.125" style="239" customWidth="1"/>
    <col min="2069" max="2069" width="9" style="239" customWidth="1"/>
    <col min="2070" max="2070" width="9.25" style="239" bestFit="1" customWidth="1"/>
    <col min="2071" max="2310" width="9" style="239" customWidth="1"/>
    <col min="2311" max="2311" width="12.375" style="239" bestFit="1" customWidth="1"/>
    <col min="2312" max="2312" width="12.25" style="239" customWidth="1"/>
    <col min="2313" max="2313" width="12.75" style="239" customWidth="1"/>
    <col min="2314" max="2317" width="12.25" style="239" customWidth="1"/>
    <col min="2318" max="2318" width="13.125" style="239" customWidth="1"/>
    <col min="2319" max="2319" width="13.25" style="239" customWidth="1"/>
    <col min="2320" max="2320" width="12.25" style="239" customWidth="1"/>
    <col min="2321" max="2321" width="10.125" style="239" customWidth="1"/>
    <col min="2322" max="2322" width="14.875" style="239" customWidth="1"/>
    <col min="2323" max="2323" width="8.625" style="239" customWidth="1"/>
    <col min="2324" max="2324" width="38.125" style="239" customWidth="1"/>
    <col min="2325" max="2325" width="9" style="239" customWidth="1"/>
    <col min="2326" max="2326" width="9.25" style="239" bestFit="1" customWidth="1"/>
    <col min="2327" max="2566" width="9" style="239" customWidth="1"/>
    <col min="2567" max="2567" width="12.375" style="239" bestFit="1" customWidth="1"/>
    <col min="2568" max="2568" width="12.25" style="239" customWidth="1"/>
    <col min="2569" max="2569" width="12.75" style="239" customWidth="1"/>
    <col min="2570" max="2573" width="12.25" style="239" customWidth="1"/>
    <col min="2574" max="2574" width="13.125" style="239" customWidth="1"/>
    <col min="2575" max="2575" width="13.25" style="239" customWidth="1"/>
    <col min="2576" max="2576" width="12.25" style="239" customWidth="1"/>
    <col min="2577" max="2577" width="10.125" style="239" customWidth="1"/>
    <col min="2578" max="2578" width="14.875" style="239" customWidth="1"/>
    <col min="2579" max="2579" width="8.625" style="239" customWidth="1"/>
    <col min="2580" max="2580" width="38.125" style="239" customWidth="1"/>
    <col min="2581" max="2581" width="9" style="239" customWidth="1"/>
    <col min="2582" max="2582" width="9.25" style="239" bestFit="1" customWidth="1"/>
    <col min="2583" max="2822" width="9" style="239" customWidth="1"/>
    <col min="2823" max="2823" width="12.375" style="239" bestFit="1" customWidth="1"/>
    <col min="2824" max="2824" width="12.25" style="239" customWidth="1"/>
    <col min="2825" max="2825" width="12.75" style="239" customWidth="1"/>
    <col min="2826" max="2829" width="12.25" style="239" customWidth="1"/>
    <col min="2830" max="2830" width="13.125" style="239" customWidth="1"/>
    <col min="2831" max="2831" width="13.25" style="239" customWidth="1"/>
    <col min="2832" max="2832" width="12.25" style="239" customWidth="1"/>
    <col min="2833" max="2833" width="10.125" style="239" customWidth="1"/>
    <col min="2834" max="2834" width="14.875" style="239" customWidth="1"/>
    <col min="2835" max="2835" width="8.625" style="239" customWidth="1"/>
    <col min="2836" max="2836" width="38.125" style="239" customWidth="1"/>
    <col min="2837" max="2837" width="9" style="239" customWidth="1"/>
    <col min="2838" max="2838" width="9.25" style="239" bestFit="1" customWidth="1"/>
    <col min="2839" max="3078" width="9" style="239" customWidth="1"/>
    <col min="3079" max="3079" width="12.375" style="239" bestFit="1" customWidth="1"/>
    <col min="3080" max="3080" width="12.25" style="239" customWidth="1"/>
    <col min="3081" max="3081" width="12.75" style="239" customWidth="1"/>
    <col min="3082" max="3085" width="12.25" style="239" customWidth="1"/>
    <col min="3086" max="3086" width="13.125" style="239" customWidth="1"/>
    <col min="3087" max="3087" width="13.25" style="239" customWidth="1"/>
    <col min="3088" max="3088" width="12.25" style="239" customWidth="1"/>
    <col min="3089" max="3089" width="10.125" style="239" customWidth="1"/>
    <col min="3090" max="3090" width="14.875" style="239" customWidth="1"/>
    <col min="3091" max="3091" width="8.625" style="239" customWidth="1"/>
    <col min="3092" max="3092" width="38.125" style="239" customWidth="1"/>
    <col min="3093" max="3093" width="9" style="239" customWidth="1"/>
    <col min="3094" max="3094" width="9.25" style="239" bestFit="1" customWidth="1"/>
    <col min="3095" max="3334" width="9" style="239" customWidth="1"/>
    <col min="3335" max="3335" width="12.375" style="239" bestFit="1" customWidth="1"/>
    <col min="3336" max="3336" width="12.25" style="239" customWidth="1"/>
    <col min="3337" max="3337" width="12.75" style="239" customWidth="1"/>
    <col min="3338" max="3341" width="12.25" style="239" customWidth="1"/>
    <col min="3342" max="3342" width="13.125" style="239" customWidth="1"/>
    <col min="3343" max="3343" width="13.25" style="239" customWidth="1"/>
    <col min="3344" max="3344" width="12.25" style="239" customWidth="1"/>
    <col min="3345" max="3345" width="10.125" style="239" customWidth="1"/>
    <col min="3346" max="3346" width="14.875" style="239" customWidth="1"/>
    <col min="3347" max="3347" width="8.625" style="239" customWidth="1"/>
    <col min="3348" max="3348" width="38.125" style="239" customWidth="1"/>
    <col min="3349" max="3349" width="9" style="239" customWidth="1"/>
    <col min="3350" max="3350" width="9.25" style="239" bestFit="1" customWidth="1"/>
    <col min="3351" max="3590" width="9" style="239" customWidth="1"/>
    <col min="3591" max="3591" width="12.375" style="239" bestFit="1" customWidth="1"/>
    <col min="3592" max="3592" width="12.25" style="239" customWidth="1"/>
    <col min="3593" max="3593" width="12.75" style="239" customWidth="1"/>
    <col min="3594" max="3597" width="12.25" style="239" customWidth="1"/>
    <col min="3598" max="3598" width="13.125" style="239" customWidth="1"/>
    <col min="3599" max="3599" width="13.25" style="239" customWidth="1"/>
    <col min="3600" max="3600" width="12.25" style="239" customWidth="1"/>
    <col min="3601" max="3601" width="10.125" style="239" customWidth="1"/>
    <col min="3602" max="3602" width="14.875" style="239" customWidth="1"/>
    <col min="3603" max="3603" width="8.625" style="239" customWidth="1"/>
    <col min="3604" max="3604" width="38.125" style="239" customWidth="1"/>
    <col min="3605" max="3605" width="9" style="239" customWidth="1"/>
    <col min="3606" max="3606" width="9.25" style="239" bestFit="1" customWidth="1"/>
    <col min="3607" max="3846" width="9" style="239" customWidth="1"/>
    <col min="3847" max="3847" width="12.375" style="239" bestFit="1" customWidth="1"/>
    <col min="3848" max="3848" width="12.25" style="239" customWidth="1"/>
    <col min="3849" max="3849" width="12.75" style="239" customWidth="1"/>
    <col min="3850" max="3853" width="12.25" style="239" customWidth="1"/>
    <col min="3854" max="3854" width="13.125" style="239" customWidth="1"/>
    <col min="3855" max="3855" width="13.25" style="239" customWidth="1"/>
    <col min="3856" max="3856" width="12.25" style="239" customWidth="1"/>
    <col min="3857" max="3857" width="10.125" style="239" customWidth="1"/>
    <col min="3858" max="3858" width="14.875" style="239" customWidth="1"/>
    <col min="3859" max="3859" width="8.625" style="239" customWidth="1"/>
    <col min="3860" max="3860" width="38.125" style="239" customWidth="1"/>
    <col min="3861" max="3861" width="9" style="239" customWidth="1"/>
    <col min="3862" max="3862" width="9.25" style="239" bestFit="1" customWidth="1"/>
    <col min="3863" max="4102" width="9" style="239" customWidth="1"/>
    <col min="4103" max="4103" width="12.375" style="239" bestFit="1" customWidth="1"/>
    <col min="4104" max="4104" width="12.25" style="239" customWidth="1"/>
    <col min="4105" max="4105" width="12.75" style="239" customWidth="1"/>
    <col min="4106" max="4109" width="12.25" style="239" customWidth="1"/>
    <col min="4110" max="4110" width="13.125" style="239" customWidth="1"/>
    <col min="4111" max="4111" width="13.25" style="239" customWidth="1"/>
    <col min="4112" max="4112" width="12.25" style="239" customWidth="1"/>
    <col min="4113" max="4113" width="10.125" style="239" customWidth="1"/>
    <col min="4114" max="4114" width="14.875" style="239" customWidth="1"/>
    <col min="4115" max="4115" width="8.625" style="239" customWidth="1"/>
    <col min="4116" max="4116" width="38.125" style="239" customWidth="1"/>
    <col min="4117" max="4117" width="9" style="239" customWidth="1"/>
    <col min="4118" max="4118" width="9.25" style="239" bestFit="1" customWidth="1"/>
    <col min="4119" max="4358" width="9" style="239" customWidth="1"/>
    <col min="4359" max="4359" width="12.375" style="239" bestFit="1" customWidth="1"/>
    <col min="4360" max="4360" width="12.25" style="239" customWidth="1"/>
    <col min="4361" max="4361" width="12.75" style="239" customWidth="1"/>
    <col min="4362" max="4365" width="12.25" style="239" customWidth="1"/>
    <col min="4366" max="4366" width="13.125" style="239" customWidth="1"/>
    <col min="4367" max="4367" width="13.25" style="239" customWidth="1"/>
    <col min="4368" max="4368" width="12.25" style="239" customWidth="1"/>
    <col min="4369" max="4369" width="10.125" style="239" customWidth="1"/>
    <col min="4370" max="4370" width="14.875" style="239" customWidth="1"/>
    <col min="4371" max="4371" width="8.625" style="239" customWidth="1"/>
    <col min="4372" max="4372" width="38.125" style="239" customWidth="1"/>
    <col min="4373" max="4373" width="9" style="239" customWidth="1"/>
    <col min="4374" max="4374" width="9.25" style="239" bestFit="1" customWidth="1"/>
    <col min="4375" max="4614" width="9" style="239" customWidth="1"/>
    <col min="4615" max="4615" width="12.375" style="239" bestFit="1" customWidth="1"/>
    <col min="4616" max="4616" width="12.25" style="239" customWidth="1"/>
    <col min="4617" max="4617" width="12.75" style="239" customWidth="1"/>
    <col min="4618" max="4621" width="12.25" style="239" customWidth="1"/>
    <col min="4622" max="4622" width="13.125" style="239" customWidth="1"/>
    <col min="4623" max="4623" width="13.25" style="239" customWidth="1"/>
    <col min="4624" max="4624" width="12.25" style="239" customWidth="1"/>
    <col min="4625" max="4625" width="10.125" style="239" customWidth="1"/>
    <col min="4626" max="4626" width="14.875" style="239" customWidth="1"/>
    <col min="4627" max="4627" width="8.625" style="239" customWidth="1"/>
    <col min="4628" max="4628" width="38.125" style="239" customWidth="1"/>
    <col min="4629" max="4629" width="9" style="239" customWidth="1"/>
    <col min="4630" max="4630" width="9.25" style="239" bestFit="1" customWidth="1"/>
    <col min="4631" max="4870" width="9" style="239" customWidth="1"/>
    <col min="4871" max="4871" width="12.375" style="239" bestFit="1" customWidth="1"/>
    <col min="4872" max="4872" width="12.25" style="239" customWidth="1"/>
    <col min="4873" max="4873" width="12.75" style="239" customWidth="1"/>
    <col min="4874" max="4877" width="12.25" style="239" customWidth="1"/>
    <col min="4878" max="4878" width="13.125" style="239" customWidth="1"/>
    <col min="4879" max="4879" width="13.25" style="239" customWidth="1"/>
    <col min="4880" max="4880" width="12.25" style="239" customWidth="1"/>
    <col min="4881" max="4881" width="10.125" style="239" customWidth="1"/>
    <col min="4882" max="4882" width="14.875" style="239" customWidth="1"/>
    <col min="4883" max="4883" width="8.625" style="239" customWidth="1"/>
    <col min="4884" max="4884" width="38.125" style="239" customWidth="1"/>
    <col min="4885" max="4885" width="9" style="239" customWidth="1"/>
    <col min="4886" max="4886" width="9.25" style="239" bestFit="1" customWidth="1"/>
    <col min="4887" max="5126" width="9" style="239" customWidth="1"/>
    <col min="5127" max="5127" width="12.375" style="239" bestFit="1" customWidth="1"/>
    <col min="5128" max="5128" width="12.25" style="239" customWidth="1"/>
    <col min="5129" max="5129" width="12.75" style="239" customWidth="1"/>
    <col min="5130" max="5133" width="12.25" style="239" customWidth="1"/>
    <col min="5134" max="5134" width="13.125" style="239" customWidth="1"/>
    <col min="5135" max="5135" width="13.25" style="239" customWidth="1"/>
    <col min="5136" max="5136" width="12.25" style="239" customWidth="1"/>
    <col min="5137" max="5137" width="10.125" style="239" customWidth="1"/>
    <col min="5138" max="5138" width="14.875" style="239" customWidth="1"/>
    <col min="5139" max="5139" width="8.625" style="239" customWidth="1"/>
    <col min="5140" max="5140" width="38.125" style="239" customWidth="1"/>
    <col min="5141" max="5141" width="9" style="239" customWidth="1"/>
    <col min="5142" max="5142" width="9.25" style="239" bestFit="1" customWidth="1"/>
    <col min="5143" max="5382" width="9" style="239" customWidth="1"/>
    <col min="5383" max="5383" width="12.375" style="239" bestFit="1" customWidth="1"/>
    <col min="5384" max="5384" width="12.25" style="239" customWidth="1"/>
    <col min="5385" max="5385" width="12.75" style="239" customWidth="1"/>
    <col min="5386" max="5389" width="12.25" style="239" customWidth="1"/>
    <col min="5390" max="5390" width="13.125" style="239" customWidth="1"/>
    <col min="5391" max="5391" width="13.25" style="239" customWidth="1"/>
    <col min="5392" max="5392" width="12.25" style="239" customWidth="1"/>
    <col min="5393" max="5393" width="10.125" style="239" customWidth="1"/>
    <col min="5394" max="5394" width="14.875" style="239" customWidth="1"/>
    <col min="5395" max="5395" width="8.625" style="239" customWidth="1"/>
    <col min="5396" max="5396" width="38.125" style="239" customWidth="1"/>
    <col min="5397" max="5397" width="9" style="239" customWidth="1"/>
    <col min="5398" max="5398" width="9.25" style="239" bestFit="1" customWidth="1"/>
    <col min="5399" max="5638" width="9" style="239" customWidth="1"/>
    <col min="5639" max="5639" width="12.375" style="239" bestFit="1" customWidth="1"/>
    <col min="5640" max="5640" width="12.25" style="239" customWidth="1"/>
    <col min="5641" max="5641" width="12.75" style="239" customWidth="1"/>
    <col min="5642" max="5645" width="12.25" style="239" customWidth="1"/>
    <col min="5646" max="5646" width="13.125" style="239" customWidth="1"/>
    <col min="5647" max="5647" width="13.25" style="239" customWidth="1"/>
    <col min="5648" max="5648" width="12.25" style="239" customWidth="1"/>
    <col min="5649" max="5649" width="10.125" style="239" customWidth="1"/>
    <col min="5650" max="5650" width="14.875" style="239" customWidth="1"/>
    <col min="5651" max="5651" width="8.625" style="239" customWidth="1"/>
    <col min="5652" max="5652" width="38.125" style="239" customWidth="1"/>
    <col min="5653" max="5653" width="9" style="239" customWidth="1"/>
    <col min="5654" max="5654" width="9.25" style="239" bestFit="1" customWidth="1"/>
    <col min="5655" max="5894" width="9" style="239" customWidth="1"/>
    <col min="5895" max="5895" width="12.375" style="239" bestFit="1" customWidth="1"/>
    <col min="5896" max="5896" width="12.25" style="239" customWidth="1"/>
    <col min="5897" max="5897" width="12.75" style="239" customWidth="1"/>
    <col min="5898" max="5901" width="12.25" style="239" customWidth="1"/>
    <col min="5902" max="5902" width="13.125" style="239" customWidth="1"/>
    <col min="5903" max="5903" width="13.25" style="239" customWidth="1"/>
    <col min="5904" max="5904" width="12.25" style="239" customWidth="1"/>
    <col min="5905" max="5905" width="10.125" style="239" customWidth="1"/>
    <col min="5906" max="5906" width="14.875" style="239" customWidth="1"/>
    <col min="5907" max="5907" width="8.625" style="239" customWidth="1"/>
    <col min="5908" max="5908" width="38.125" style="239" customWidth="1"/>
    <col min="5909" max="5909" width="9" style="239" customWidth="1"/>
    <col min="5910" max="5910" width="9.25" style="239" bestFit="1" customWidth="1"/>
    <col min="5911" max="6150" width="9" style="239" customWidth="1"/>
    <col min="6151" max="6151" width="12.375" style="239" bestFit="1" customWidth="1"/>
    <col min="6152" max="6152" width="12.25" style="239" customWidth="1"/>
    <col min="6153" max="6153" width="12.75" style="239" customWidth="1"/>
    <col min="6154" max="6157" width="12.25" style="239" customWidth="1"/>
    <col min="6158" max="6158" width="13.125" style="239" customWidth="1"/>
    <col min="6159" max="6159" width="13.25" style="239" customWidth="1"/>
    <col min="6160" max="6160" width="12.25" style="239" customWidth="1"/>
    <col min="6161" max="6161" width="10.125" style="239" customWidth="1"/>
    <col min="6162" max="6162" width="14.875" style="239" customWidth="1"/>
    <col min="6163" max="6163" width="8.625" style="239" customWidth="1"/>
    <col min="6164" max="6164" width="38.125" style="239" customWidth="1"/>
    <col min="6165" max="6165" width="9" style="239" customWidth="1"/>
    <col min="6166" max="6166" width="9.25" style="239" bestFit="1" customWidth="1"/>
    <col min="6167" max="6406" width="9" style="239" customWidth="1"/>
    <col min="6407" max="6407" width="12.375" style="239" bestFit="1" customWidth="1"/>
    <col min="6408" max="6408" width="12.25" style="239" customWidth="1"/>
    <col min="6409" max="6409" width="12.75" style="239" customWidth="1"/>
    <col min="6410" max="6413" width="12.25" style="239" customWidth="1"/>
    <col min="6414" max="6414" width="13.125" style="239" customWidth="1"/>
    <col min="6415" max="6415" width="13.25" style="239" customWidth="1"/>
    <col min="6416" max="6416" width="12.25" style="239" customWidth="1"/>
    <col min="6417" max="6417" width="10.125" style="239" customWidth="1"/>
    <col min="6418" max="6418" width="14.875" style="239" customWidth="1"/>
    <col min="6419" max="6419" width="8.625" style="239" customWidth="1"/>
    <col min="6420" max="6420" width="38.125" style="239" customWidth="1"/>
    <col min="6421" max="6421" width="9" style="239" customWidth="1"/>
    <col min="6422" max="6422" width="9.25" style="239" bestFit="1" customWidth="1"/>
    <col min="6423" max="6662" width="9" style="239" customWidth="1"/>
    <col min="6663" max="6663" width="12.375" style="239" bestFit="1" customWidth="1"/>
    <col min="6664" max="6664" width="12.25" style="239" customWidth="1"/>
    <col min="6665" max="6665" width="12.75" style="239" customWidth="1"/>
    <col min="6666" max="6669" width="12.25" style="239" customWidth="1"/>
    <col min="6670" max="6670" width="13.125" style="239" customWidth="1"/>
    <col min="6671" max="6671" width="13.25" style="239" customWidth="1"/>
    <col min="6672" max="6672" width="12.25" style="239" customWidth="1"/>
    <col min="6673" max="6673" width="10.125" style="239" customWidth="1"/>
    <col min="6674" max="6674" width="14.875" style="239" customWidth="1"/>
    <col min="6675" max="6675" width="8.625" style="239" customWidth="1"/>
    <col min="6676" max="6676" width="38.125" style="239" customWidth="1"/>
    <col min="6677" max="6677" width="9" style="239" customWidth="1"/>
    <col min="6678" max="6678" width="9.25" style="239" bestFit="1" customWidth="1"/>
    <col min="6679" max="6918" width="9" style="239" customWidth="1"/>
    <col min="6919" max="6919" width="12.375" style="239" bestFit="1" customWidth="1"/>
    <col min="6920" max="6920" width="12.25" style="239" customWidth="1"/>
    <col min="6921" max="6921" width="12.75" style="239" customWidth="1"/>
    <col min="6922" max="6925" width="12.25" style="239" customWidth="1"/>
    <col min="6926" max="6926" width="13.125" style="239" customWidth="1"/>
    <col min="6927" max="6927" width="13.25" style="239" customWidth="1"/>
    <col min="6928" max="6928" width="12.25" style="239" customWidth="1"/>
    <col min="6929" max="6929" width="10.125" style="239" customWidth="1"/>
    <col min="6930" max="6930" width="14.875" style="239" customWidth="1"/>
    <col min="6931" max="6931" width="8.625" style="239" customWidth="1"/>
    <col min="6932" max="6932" width="38.125" style="239" customWidth="1"/>
    <col min="6933" max="6933" width="9" style="239" customWidth="1"/>
    <col min="6934" max="6934" width="9.25" style="239" bestFit="1" customWidth="1"/>
    <col min="6935" max="7174" width="9" style="239" customWidth="1"/>
    <col min="7175" max="7175" width="12.375" style="239" bestFit="1" customWidth="1"/>
    <col min="7176" max="7176" width="12.25" style="239" customWidth="1"/>
    <col min="7177" max="7177" width="12.75" style="239" customWidth="1"/>
    <col min="7178" max="7181" width="12.25" style="239" customWidth="1"/>
    <col min="7182" max="7182" width="13.125" style="239" customWidth="1"/>
    <col min="7183" max="7183" width="13.25" style="239" customWidth="1"/>
    <col min="7184" max="7184" width="12.25" style="239" customWidth="1"/>
    <col min="7185" max="7185" width="10.125" style="239" customWidth="1"/>
    <col min="7186" max="7186" width="14.875" style="239" customWidth="1"/>
    <col min="7187" max="7187" width="8.625" style="239" customWidth="1"/>
    <col min="7188" max="7188" width="38.125" style="239" customWidth="1"/>
    <col min="7189" max="7189" width="9" style="239" customWidth="1"/>
    <col min="7190" max="7190" width="9.25" style="239" bestFit="1" customWidth="1"/>
    <col min="7191" max="7430" width="9" style="239" customWidth="1"/>
    <col min="7431" max="7431" width="12.375" style="239" bestFit="1" customWidth="1"/>
    <col min="7432" max="7432" width="12.25" style="239" customWidth="1"/>
    <col min="7433" max="7433" width="12.75" style="239" customWidth="1"/>
    <col min="7434" max="7437" width="12.25" style="239" customWidth="1"/>
    <col min="7438" max="7438" width="13.125" style="239" customWidth="1"/>
    <col min="7439" max="7439" width="13.25" style="239" customWidth="1"/>
    <col min="7440" max="7440" width="12.25" style="239" customWidth="1"/>
    <col min="7441" max="7441" width="10.125" style="239" customWidth="1"/>
    <col min="7442" max="7442" width="14.875" style="239" customWidth="1"/>
    <col min="7443" max="7443" width="8.625" style="239" customWidth="1"/>
    <col min="7444" max="7444" width="38.125" style="239" customWidth="1"/>
    <col min="7445" max="7445" width="9" style="239" customWidth="1"/>
    <col min="7446" max="7446" width="9.25" style="239" bestFit="1" customWidth="1"/>
    <col min="7447" max="7686" width="9" style="239" customWidth="1"/>
    <col min="7687" max="7687" width="12.375" style="239" bestFit="1" customWidth="1"/>
    <col min="7688" max="7688" width="12.25" style="239" customWidth="1"/>
    <col min="7689" max="7689" width="12.75" style="239" customWidth="1"/>
    <col min="7690" max="7693" width="12.25" style="239" customWidth="1"/>
    <col min="7694" max="7694" width="13.125" style="239" customWidth="1"/>
    <col min="7695" max="7695" width="13.25" style="239" customWidth="1"/>
    <col min="7696" max="7696" width="12.25" style="239" customWidth="1"/>
    <col min="7697" max="7697" width="10.125" style="239" customWidth="1"/>
    <col min="7698" max="7698" width="14.875" style="239" customWidth="1"/>
    <col min="7699" max="7699" width="8.625" style="239" customWidth="1"/>
    <col min="7700" max="7700" width="38.125" style="239" customWidth="1"/>
    <col min="7701" max="7701" width="9" style="239" customWidth="1"/>
    <col min="7702" max="7702" width="9.25" style="239" bestFit="1" customWidth="1"/>
    <col min="7703" max="7942" width="9" style="239" customWidth="1"/>
    <col min="7943" max="7943" width="12.375" style="239" bestFit="1" customWidth="1"/>
    <col min="7944" max="7944" width="12.25" style="239" customWidth="1"/>
    <col min="7945" max="7945" width="12.75" style="239" customWidth="1"/>
    <col min="7946" max="7949" width="12.25" style="239" customWidth="1"/>
    <col min="7950" max="7950" width="13.125" style="239" customWidth="1"/>
    <col min="7951" max="7951" width="13.25" style="239" customWidth="1"/>
    <col min="7952" max="7952" width="12.25" style="239" customWidth="1"/>
    <col min="7953" max="7953" width="10.125" style="239" customWidth="1"/>
    <col min="7954" max="7954" width="14.875" style="239" customWidth="1"/>
    <col min="7955" max="7955" width="8.625" style="239" customWidth="1"/>
    <col min="7956" max="7956" width="38.125" style="239" customWidth="1"/>
    <col min="7957" max="7957" width="9" style="239" customWidth="1"/>
    <col min="7958" max="7958" width="9.25" style="239" bestFit="1" customWidth="1"/>
    <col min="7959" max="8198" width="9" style="239" customWidth="1"/>
    <col min="8199" max="8199" width="12.375" style="239" bestFit="1" customWidth="1"/>
    <col min="8200" max="8200" width="12.25" style="239" customWidth="1"/>
    <col min="8201" max="8201" width="12.75" style="239" customWidth="1"/>
    <col min="8202" max="8205" width="12.25" style="239" customWidth="1"/>
    <col min="8206" max="8206" width="13.125" style="239" customWidth="1"/>
    <col min="8207" max="8207" width="13.25" style="239" customWidth="1"/>
    <col min="8208" max="8208" width="12.25" style="239" customWidth="1"/>
    <col min="8209" max="8209" width="10.125" style="239" customWidth="1"/>
    <col min="8210" max="8210" width="14.875" style="239" customWidth="1"/>
    <col min="8211" max="8211" width="8.625" style="239" customWidth="1"/>
    <col min="8212" max="8212" width="38.125" style="239" customWidth="1"/>
    <col min="8213" max="8213" width="9" style="239" customWidth="1"/>
    <col min="8214" max="8214" width="9.25" style="239" bestFit="1" customWidth="1"/>
    <col min="8215" max="8454" width="9" style="239" customWidth="1"/>
    <col min="8455" max="8455" width="12.375" style="239" bestFit="1" customWidth="1"/>
    <col min="8456" max="8456" width="12.25" style="239" customWidth="1"/>
    <col min="8457" max="8457" width="12.75" style="239" customWidth="1"/>
    <col min="8458" max="8461" width="12.25" style="239" customWidth="1"/>
    <col min="8462" max="8462" width="13.125" style="239" customWidth="1"/>
    <col min="8463" max="8463" width="13.25" style="239" customWidth="1"/>
    <col min="8464" max="8464" width="12.25" style="239" customWidth="1"/>
    <col min="8465" max="8465" width="10.125" style="239" customWidth="1"/>
    <col min="8466" max="8466" width="14.875" style="239" customWidth="1"/>
    <col min="8467" max="8467" width="8.625" style="239" customWidth="1"/>
    <col min="8468" max="8468" width="38.125" style="239" customWidth="1"/>
    <col min="8469" max="8469" width="9" style="239" customWidth="1"/>
    <col min="8470" max="8470" width="9.25" style="239" bestFit="1" customWidth="1"/>
    <col min="8471" max="8710" width="9" style="239" customWidth="1"/>
    <col min="8711" max="8711" width="12.375" style="239" bestFit="1" customWidth="1"/>
    <col min="8712" max="8712" width="12.25" style="239" customWidth="1"/>
    <col min="8713" max="8713" width="12.75" style="239" customWidth="1"/>
    <col min="8714" max="8717" width="12.25" style="239" customWidth="1"/>
    <col min="8718" max="8718" width="13.125" style="239" customWidth="1"/>
    <col min="8719" max="8719" width="13.25" style="239" customWidth="1"/>
    <col min="8720" max="8720" width="12.25" style="239" customWidth="1"/>
    <col min="8721" max="8721" width="10.125" style="239" customWidth="1"/>
    <col min="8722" max="8722" width="14.875" style="239" customWidth="1"/>
    <col min="8723" max="8723" width="8.625" style="239" customWidth="1"/>
    <col min="8724" max="8724" width="38.125" style="239" customWidth="1"/>
    <col min="8725" max="8725" width="9" style="239" customWidth="1"/>
    <col min="8726" max="8726" width="9.25" style="239" bestFit="1" customWidth="1"/>
    <col min="8727" max="8966" width="9" style="239" customWidth="1"/>
    <col min="8967" max="8967" width="12.375" style="239" bestFit="1" customWidth="1"/>
    <col min="8968" max="8968" width="12.25" style="239" customWidth="1"/>
    <col min="8969" max="8969" width="12.75" style="239" customWidth="1"/>
    <col min="8970" max="8973" width="12.25" style="239" customWidth="1"/>
    <col min="8974" max="8974" width="13.125" style="239" customWidth="1"/>
    <col min="8975" max="8975" width="13.25" style="239" customWidth="1"/>
    <col min="8976" max="8976" width="12.25" style="239" customWidth="1"/>
    <col min="8977" max="8977" width="10.125" style="239" customWidth="1"/>
    <col min="8978" max="8978" width="14.875" style="239" customWidth="1"/>
    <col min="8979" max="8979" width="8.625" style="239" customWidth="1"/>
    <col min="8980" max="8980" width="38.125" style="239" customWidth="1"/>
    <col min="8981" max="8981" width="9" style="239" customWidth="1"/>
    <col min="8982" max="8982" width="9.25" style="239" bestFit="1" customWidth="1"/>
    <col min="8983" max="9222" width="9" style="239" customWidth="1"/>
    <col min="9223" max="9223" width="12.375" style="239" bestFit="1" customWidth="1"/>
    <col min="9224" max="9224" width="12.25" style="239" customWidth="1"/>
    <col min="9225" max="9225" width="12.75" style="239" customWidth="1"/>
    <col min="9226" max="9229" width="12.25" style="239" customWidth="1"/>
    <col min="9230" max="9230" width="13.125" style="239" customWidth="1"/>
    <col min="9231" max="9231" width="13.25" style="239" customWidth="1"/>
    <col min="9232" max="9232" width="12.25" style="239" customWidth="1"/>
    <col min="9233" max="9233" width="10.125" style="239" customWidth="1"/>
    <col min="9234" max="9234" width="14.875" style="239" customWidth="1"/>
    <col min="9235" max="9235" width="8.625" style="239" customWidth="1"/>
    <col min="9236" max="9236" width="38.125" style="239" customWidth="1"/>
    <col min="9237" max="9237" width="9" style="239" customWidth="1"/>
    <col min="9238" max="9238" width="9.25" style="239" bestFit="1" customWidth="1"/>
    <col min="9239" max="9478" width="9" style="239" customWidth="1"/>
    <col min="9479" max="9479" width="12.375" style="239" bestFit="1" customWidth="1"/>
    <col min="9480" max="9480" width="12.25" style="239" customWidth="1"/>
    <col min="9481" max="9481" width="12.75" style="239" customWidth="1"/>
    <col min="9482" max="9485" width="12.25" style="239" customWidth="1"/>
    <col min="9486" max="9486" width="13.125" style="239" customWidth="1"/>
    <col min="9487" max="9487" width="13.25" style="239" customWidth="1"/>
    <col min="9488" max="9488" width="12.25" style="239" customWidth="1"/>
    <col min="9489" max="9489" width="10.125" style="239" customWidth="1"/>
    <col min="9490" max="9490" width="14.875" style="239" customWidth="1"/>
    <col min="9491" max="9491" width="8.625" style="239" customWidth="1"/>
    <col min="9492" max="9492" width="38.125" style="239" customWidth="1"/>
    <col min="9493" max="9493" width="9" style="239" customWidth="1"/>
    <col min="9494" max="9494" width="9.25" style="239" bestFit="1" customWidth="1"/>
    <col min="9495" max="9734" width="9" style="239" customWidth="1"/>
    <col min="9735" max="9735" width="12.375" style="239" bestFit="1" customWidth="1"/>
    <col min="9736" max="9736" width="12.25" style="239" customWidth="1"/>
    <col min="9737" max="9737" width="12.75" style="239" customWidth="1"/>
    <col min="9738" max="9741" width="12.25" style="239" customWidth="1"/>
    <col min="9742" max="9742" width="13.125" style="239" customWidth="1"/>
    <col min="9743" max="9743" width="13.25" style="239" customWidth="1"/>
    <col min="9744" max="9744" width="12.25" style="239" customWidth="1"/>
    <col min="9745" max="9745" width="10.125" style="239" customWidth="1"/>
    <col min="9746" max="9746" width="14.875" style="239" customWidth="1"/>
    <col min="9747" max="9747" width="8.625" style="239" customWidth="1"/>
    <col min="9748" max="9748" width="38.125" style="239" customWidth="1"/>
    <col min="9749" max="9749" width="9" style="239" customWidth="1"/>
    <col min="9750" max="9750" width="9.25" style="239" bestFit="1" customWidth="1"/>
    <col min="9751" max="9990" width="9" style="239" customWidth="1"/>
    <col min="9991" max="9991" width="12.375" style="239" bestFit="1" customWidth="1"/>
    <col min="9992" max="9992" width="12.25" style="239" customWidth="1"/>
    <col min="9993" max="9993" width="12.75" style="239" customWidth="1"/>
    <col min="9994" max="9997" width="12.25" style="239" customWidth="1"/>
    <col min="9998" max="9998" width="13.125" style="239" customWidth="1"/>
    <col min="9999" max="9999" width="13.25" style="239" customWidth="1"/>
    <col min="10000" max="10000" width="12.25" style="239" customWidth="1"/>
    <col min="10001" max="10001" width="10.125" style="239" customWidth="1"/>
    <col min="10002" max="10002" width="14.875" style="239" customWidth="1"/>
    <col min="10003" max="10003" width="8.625" style="239" customWidth="1"/>
    <col min="10004" max="10004" width="38.125" style="239" customWidth="1"/>
    <col min="10005" max="10005" width="9" style="239" customWidth="1"/>
    <col min="10006" max="10006" width="9.25" style="239" bestFit="1" customWidth="1"/>
    <col min="10007" max="10246" width="9" style="239" customWidth="1"/>
    <col min="10247" max="10247" width="12.375" style="239" bestFit="1" customWidth="1"/>
    <col min="10248" max="10248" width="12.25" style="239" customWidth="1"/>
    <col min="10249" max="10249" width="12.75" style="239" customWidth="1"/>
    <col min="10250" max="10253" width="12.25" style="239" customWidth="1"/>
    <col min="10254" max="10254" width="13.125" style="239" customWidth="1"/>
    <col min="10255" max="10255" width="13.25" style="239" customWidth="1"/>
    <col min="10256" max="10256" width="12.25" style="239" customWidth="1"/>
    <col min="10257" max="10257" width="10.125" style="239" customWidth="1"/>
    <col min="10258" max="10258" width="14.875" style="239" customWidth="1"/>
    <col min="10259" max="10259" width="8.625" style="239" customWidth="1"/>
    <col min="10260" max="10260" width="38.125" style="239" customWidth="1"/>
    <col min="10261" max="10261" width="9" style="239" customWidth="1"/>
    <col min="10262" max="10262" width="9.25" style="239" bestFit="1" customWidth="1"/>
    <col min="10263" max="10502" width="9" style="239" customWidth="1"/>
    <col min="10503" max="10503" width="12.375" style="239" bestFit="1" customWidth="1"/>
    <col min="10504" max="10504" width="12.25" style="239" customWidth="1"/>
    <col min="10505" max="10505" width="12.75" style="239" customWidth="1"/>
    <col min="10506" max="10509" width="12.25" style="239" customWidth="1"/>
    <col min="10510" max="10510" width="13.125" style="239" customWidth="1"/>
    <col min="10511" max="10511" width="13.25" style="239" customWidth="1"/>
    <col min="10512" max="10512" width="12.25" style="239" customWidth="1"/>
    <col min="10513" max="10513" width="10.125" style="239" customWidth="1"/>
    <col min="10514" max="10514" width="14.875" style="239" customWidth="1"/>
    <col min="10515" max="10515" width="8.625" style="239" customWidth="1"/>
    <col min="10516" max="10516" width="38.125" style="239" customWidth="1"/>
    <col min="10517" max="10517" width="9" style="239" customWidth="1"/>
    <col min="10518" max="10518" width="9.25" style="239" bestFit="1" customWidth="1"/>
    <col min="10519" max="10758" width="9" style="239" customWidth="1"/>
    <col min="10759" max="10759" width="12.375" style="239" bestFit="1" customWidth="1"/>
    <col min="10760" max="10760" width="12.25" style="239" customWidth="1"/>
    <col min="10761" max="10761" width="12.75" style="239" customWidth="1"/>
    <col min="10762" max="10765" width="12.25" style="239" customWidth="1"/>
    <col min="10766" max="10766" width="13.125" style="239" customWidth="1"/>
    <col min="10767" max="10767" width="13.25" style="239" customWidth="1"/>
    <col min="10768" max="10768" width="12.25" style="239" customWidth="1"/>
    <col min="10769" max="10769" width="10.125" style="239" customWidth="1"/>
    <col min="10770" max="10770" width="14.875" style="239" customWidth="1"/>
    <col min="10771" max="10771" width="8.625" style="239" customWidth="1"/>
    <col min="10772" max="10772" width="38.125" style="239" customWidth="1"/>
    <col min="10773" max="10773" width="9" style="239" customWidth="1"/>
    <col min="10774" max="10774" width="9.25" style="239" bestFit="1" customWidth="1"/>
    <col min="10775" max="11014" width="9" style="239" customWidth="1"/>
    <col min="11015" max="11015" width="12.375" style="239" bestFit="1" customWidth="1"/>
    <col min="11016" max="11016" width="12.25" style="239" customWidth="1"/>
    <col min="11017" max="11017" width="12.75" style="239" customWidth="1"/>
    <col min="11018" max="11021" width="12.25" style="239" customWidth="1"/>
    <col min="11022" max="11022" width="13.125" style="239" customWidth="1"/>
    <col min="11023" max="11023" width="13.25" style="239" customWidth="1"/>
    <col min="11024" max="11024" width="12.25" style="239" customWidth="1"/>
    <col min="11025" max="11025" width="10.125" style="239" customWidth="1"/>
    <col min="11026" max="11026" width="14.875" style="239" customWidth="1"/>
    <col min="11027" max="11027" width="8.625" style="239" customWidth="1"/>
    <col min="11028" max="11028" width="38.125" style="239" customWidth="1"/>
    <col min="11029" max="11029" width="9" style="239" customWidth="1"/>
    <col min="11030" max="11030" width="9.25" style="239" bestFit="1" customWidth="1"/>
    <col min="11031" max="11270" width="9" style="239" customWidth="1"/>
    <col min="11271" max="11271" width="12.375" style="239" bestFit="1" customWidth="1"/>
    <col min="11272" max="11272" width="12.25" style="239" customWidth="1"/>
    <col min="11273" max="11273" width="12.75" style="239" customWidth="1"/>
    <col min="11274" max="11277" width="12.25" style="239" customWidth="1"/>
    <col min="11278" max="11278" width="13.125" style="239" customWidth="1"/>
    <col min="11279" max="11279" width="13.25" style="239" customWidth="1"/>
    <col min="11280" max="11280" width="12.25" style="239" customWidth="1"/>
    <col min="11281" max="11281" width="10.125" style="239" customWidth="1"/>
    <col min="11282" max="11282" width="14.875" style="239" customWidth="1"/>
    <col min="11283" max="11283" width="8.625" style="239" customWidth="1"/>
    <col min="11284" max="11284" width="38.125" style="239" customWidth="1"/>
    <col min="11285" max="11285" width="9" style="239" customWidth="1"/>
    <col min="11286" max="11286" width="9.25" style="239" bestFit="1" customWidth="1"/>
    <col min="11287" max="11526" width="9" style="239" customWidth="1"/>
    <col min="11527" max="11527" width="12.375" style="239" bestFit="1" customWidth="1"/>
    <col min="11528" max="11528" width="12.25" style="239" customWidth="1"/>
    <col min="11529" max="11529" width="12.75" style="239" customWidth="1"/>
    <col min="11530" max="11533" width="12.25" style="239" customWidth="1"/>
    <col min="11534" max="11534" width="13.125" style="239" customWidth="1"/>
    <col min="11535" max="11535" width="13.25" style="239" customWidth="1"/>
    <col min="11536" max="11536" width="12.25" style="239" customWidth="1"/>
    <col min="11537" max="11537" width="10.125" style="239" customWidth="1"/>
    <col min="11538" max="11538" width="14.875" style="239" customWidth="1"/>
    <col min="11539" max="11539" width="8.625" style="239" customWidth="1"/>
    <col min="11540" max="11540" width="38.125" style="239" customWidth="1"/>
    <col min="11541" max="11541" width="9" style="239" customWidth="1"/>
    <col min="11542" max="11542" width="9.25" style="239" bestFit="1" customWidth="1"/>
    <col min="11543" max="11782" width="9" style="239" customWidth="1"/>
    <col min="11783" max="11783" width="12.375" style="239" bestFit="1" customWidth="1"/>
    <col min="11784" max="11784" width="12.25" style="239" customWidth="1"/>
    <col min="11785" max="11785" width="12.75" style="239" customWidth="1"/>
    <col min="11786" max="11789" width="12.25" style="239" customWidth="1"/>
    <col min="11790" max="11790" width="13.125" style="239" customWidth="1"/>
    <col min="11791" max="11791" width="13.25" style="239" customWidth="1"/>
    <col min="11792" max="11792" width="12.25" style="239" customWidth="1"/>
    <col min="11793" max="11793" width="10.125" style="239" customWidth="1"/>
    <col min="11794" max="11794" width="14.875" style="239" customWidth="1"/>
    <col min="11795" max="11795" width="8.625" style="239" customWidth="1"/>
    <col min="11796" max="11796" width="38.125" style="239" customWidth="1"/>
    <col min="11797" max="11797" width="9" style="239" customWidth="1"/>
    <col min="11798" max="11798" width="9.25" style="239" bestFit="1" customWidth="1"/>
    <col min="11799" max="12038" width="9" style="239" customWidth="1"/>
    <col min="12039" max="12039" width="12.375" style="239" bestFit="1" customWidth="1"/>
    <col min="12040" max="12040" width="12.25" style="239" customWidth="1"/>
    <col min="12041" max="12041" width="12.75" style="239" customWidth="1"/>
    <col min="12042" max="12045" width="12.25" style="239" customWidth="1"/>
    <col min="12046" max="12046" width="13.125" style="239" customWidth="1"/>
    <col min="12047" max="12047" width="13.25" style="239" customWidth="1"/>
    <col min="12048" max="12048" width="12.25" style="239" customWidth="1"/>
    <col min="12049" max="12049" width="10.125" style="239" customWidth="1"/>
    <col min="12050" max="12050" width="14.875" style="239" customWidth="1"/>
    <col min="12051" max="12051" width="8.625" style="239" customWidth="1"/>
    <col min="12052" max="12052" width="38.125" style="239" customWidth="1"/>
    <col min="12053" max="12053" width="9" style="239" customWidth="1"/>
    <col min="12054" max="12054" width="9.25" style="239" bestFit="1" customWidth="1"/>
    <col min="12055" max="12294" width="9" style="239" customWidth="1"/>
    <col min="12295" max="12295" width="12.375" style="239" bestFit="1" customWidth="1"/>
    <col min="12296" max="12296" width="12.25" style="239" customWidth="1"/>
    <col min="12297" max="12297" width="12.75" style="239" customWidth="1"/>
    <col min="12298" max="12301" width="12.25" style="239" customWidth="1"/>
    <col min="12302" max="12302" width="13.125" style="239" customWidth="1"/>
    <col min="12303" max="12303" width="13.25" style="239" customWidth="1"/>
    <col min="12304" max="12304" width="12.25" style="239" customWidth="1"/>
    <col min="12305" max="12305" width="10.125" style="239" customWidth="1"/>
    <col min="12306" max="12306" width="14.875" style="239" customWidth="1"/>
    <col min="12307" max="12307" width="8.625" style="239" customWidth="1"/>
    <col min="12308" max="12308" width="38.125" style="239" customWidth="1"/>
    <col min="12309" max="12309" width="9" style="239" customWidth="1"/>
    <col min="12310" max="12310" width="9.25" style="239" bestFit="1" customWidth="1"/>
    <col min="12311" max="12550" width="9" style="239" customWidth="1"/>
    <col min="12551" max="12551" width="12.375" style="239" bestFit="1" customWidth="1"/>
    <col min="12552" max="12552" width="12.25" style="239" customWidth="1"/>
    <col min="12553" max="12553" width="12.75" style="239" customWidth="1"/>
    <col min="12554" max="12557" width="12.25" style="239" customWidth="1"/>
    <col min="12558" max="12558" width="13.125" style="239" customWidth="1"/>
    <col min="12559" max="12559" width="13.25" style="239" customWidth="1"/>
    <col min="12560" max="12560" width="12.25" style="239" customWidth="1"/>
    <col min="12561" max="12561" width="10.125" style="239" customWidth="1"/>
    <col min="12562" max="12562" width="14.875" style="239" customWidth="1"/>
    <col min="12563" max="12563" width="8.625" style="239" customWidth="1"/>
    <col min="12564" max="12564" width="38.125" style="239" customWidth="1"/>
    <col min="12565" max="12565" width="9" style="239" customWidth="1"/>
    <col min="12566" max="12566" width="9.25" style="239" bestFit="1" customWidth="1"/>
    <col min="12567" max="12806" width="9" style="239" customWidth="1"/>
    <col min="12807" max="12807" width="12.375" style="239" bestFit="1" customWidth="1"/>
    <col min="12808" max="12808" width="12.25" style="239" customWidth="1"/>
    <col min="12809" max="12809" width="12.75" style="239" customWidth="1"/>
    <col min="12810" max="12813" width="12.25" style="239" customWidth="1"/>
    <col min="12814" max="12814" width="13.125" style="239" customWidth="1"/>
    <col min="12815" max="12815" width="13.25" style="239" customWidth="1"/>
    <col min="12816" max="12816" width="12.25" style="239" customWidth="1"/>
    <col min="12817" max="12817" width="10.125" style="239" customWidth="1"/>
    <col min="12818" max="12818" width="14.875" style="239" customWidth="1"/>
    <col min="12819" max="12819" width="8.625" style="239" customWidth="1"/>
    <col min="12820" max="12820" width="38.125" style="239" customWidth="1"/>
    <col min="12821" max="12821" width="9" style="239" customWidth="1"/>
    <col min="12822" max="12822" width="9.25" style="239" bestFit="1" customWidth="1"/>
    <col min="12823" max="13062" width="9" style="239" customWidth="1"/>
    <col min="13063" max="13063" width="12.375" style="239" bestFit="1" customWidth="1"/>
    <col min="13064" max="13064" width="12.25" style="239" customWidth="1"/>
    <col min="13065" max="13065" width="12.75" style="239" customWidth="1"/>
    <col min="13066" max="13069" width="12.25" style="239" customWidth="1"/>
    <col min="13070" max="13070" width="13.125" style="239" customWidth="1"/>
    <col min="13071" max="13071" width="13.25" style="239" customWidth="1"/>
    <col min="13072" max="13072" width="12.25" style="239" customWidth="1"/>
    <col min="13073" max="13073" width="10.125" style="239" customWidth="1"/>
    <col min="13074" max="13074" width="14.875" style="239" customWidth="1"/>
    <col min="13075" max="13075" width="8.625" style="239" customWidth="1"/>
    <col min="13076" max="13076" width="38.125" style="239" customWidth="1"/>
    <col min="13077" max="13077" width="9" style="239" customWidth="1"/>
    <col min="13078" max="13078" width="9.25" style="239" bestFit="1" customWidth="1"/>
    <col min="13079" max="13318" width="9" style="239" customWidth="1"/>
    <col min="13319" max="13319" width="12.375" style="239" bestFit="1" customWidth="1"/>
    <col min="13320" max="13320" width="12.25" style="239" customWidth="1"/>
    <col min="13321" max="13321" width="12.75" style="239" customWidth="1"/>
    <col min="13322" max="13325" width="12.25" style="239" customWidth="1"/>
    <col min="13326" max="13326" width="13.125" style="239" customWidth="1"/>
    <col min="13327" max="13327" width="13.25" style="239" customWidth="1"/>
    <col min="13328" max="13328" width="12.25" style="239" customWidth="1"/>
    <col min="13329" max="13329" width="10.125" style="239" customWidth="1"/>
    <col min="13330" max="13330" width="14.875" style="239" customWidth="1"/>
    <col min="13331" max="13331" width="8.625" style="239" customWidth="1"/>
    <col min="13332" max="13332" width="38.125" style="239" customWidth="1"/>
    <col min="13333" max="13333" width="9" style="239" customWidth="1"/>
    <col min="13334" max="13334" width="9.25" style="239" bestFit="1" customWidth="1"/>
    <col min="13335" max="13574" width="9" style="239" customWidth="1"/>
    <col min="13575" max="13575" width="12.375" style="239" bestFit="1" customWidth="1"/>
    <col min="13576" max="13576" width="12.25" style="239" customWidth="1"/>
    <col min="13577" max="13577" width="12.75" style="239" customWidth="1"/>
    <col min="13578" max="13581" width="12.25" style="239" customWidth="1"/>
    <col min="13582" max="13582" width="13.125" style="239" customWidth="1"/>
    <col min="13583" max="13583" width="13.25" style="239" customWidth="1"/>
    <col min="13584" max="13584" width="12.25" style="239" customWidth="1"/>
    <col min="13585" max="13585" width="10.125" style="239" customWidth="1"/>
    <col min="13586" max="13586" width="14.875" style="239" customWidth="1"/>
    <col min="13587" max="13587" width="8.625" style="239" customWidth="1"/>
    <col min="13588" max="13588" width="38.125" style="239" customWidth="1"/>
    <col min="13589" max="13589" width="9" style="239" customWidth="1"/>
    <col min="13590" max="13590" width="9.25" style="239" bestFit="1" customWidth="1"/>
    <col min="13591" max="13830" width="9" style="239" customWidth="1"/>
    <col min="13831" max="13831" width="12.375" style="239" bestFit="1" customWidth="1"/>
    <col min="13832" max="13832" width="12.25" style="239" customWidth="1"/>
    <col min="13833" max="13833" width="12.75" style="239" customWidth="1"/>
    <col min="13834" max="13837" width="12.25" style="239" customWidth="1"/>
    <col min="13838" max="13838" width="13.125" style="239" customWidth="1"/>
    <col min="13839" max="13839" width="13.25" style="239" customWidth="1"/>
    <col min="13840" max="13840" width="12.25" style="239" customWidth="1"/>
    <col min="13841" max="13841" width="10.125" style="239" customWidth="1"/>
    <col min="13842" max="13842" width="14.875" style="239" customWidth="1"/>
    <col min="13843" max="13843" width="8.625" style="239" customWidth="1"/>
    <col min="13844" max="13844" width="38.125" style="239" customWidth="1"/>
    <col min="13845" max="13845" width="9" style="239" customWidth="1"/>
    <col min="13846" max="13846" width="9.25" style="239" bestFit="1" customWidth="1"/>
    <col min="13847" max="14086" width="9" style="239" customWidth="1"/>
    <col min="14087" max="14087" width="12.375" style="239" bestFit="1" customWidth="1"/>
    <col min="14088" max="14088" width="12.25" style="239" customWidth="1"/>
    <col min="14089" max="14089" width="12.75" style="239" customWidth="1"/>
    <col min="14090" max="14093" width="12.25" style="239" customWidth="1"/>
    <col min="14094" max="14094" width="13.125" style="239" customWidth="1"/>
    <col min="14095" max="14095" width="13.25" style="239" customWidth="1"/>
    <col min="14096" max="14096" width="12.25" style="239" customWidth="1"/>
    <col min="14097" max="14097" width="10.125" style="239" customWidth="1"/>
    <col min="14098" max="14098" width="14.875" style="239" customWidth="1"/>
    <col min="14099" max="14099" width="8.625" style="239" customWidth="1"/>
    <col min="14100" max="14100" width="38.125" style="239" customWidth="1"/>
    <col min="14101" max="14101" width="9" style="239" customWidth="1"/>
    <col min="14102" max="14102" width="9.25" style="239" bestFit="1" customWidth="1"/>
    <col min="14103" max="14342" width="9" style="239" customWidth="1"/>
    <col min="14343" max="14343" width="12.375" style="239" bestFit="1" customWidth="1"/>
    <col min="14344" max="14344" width="12.25" style="239" customWidth="1"/>
    <col min="14345" max="14345" width="12.75" style="239" customWidth="1"/>
    <col min="14346" max="14349" width="12.25" style="239" customWidth="1"/>
    <col min="14350" max="14350" width="13.125" style="239" customWidth="1"/>
    <col min="14351" max="14351" width="13.25" style="239" customWidth="1"/>
    <col min="14352" max="14352" width="12.25" style="239" customWidth="1"/>
    <col min="14353" max="14353" width="10.125" style="239" customWidth="1"/>
    <col min="14354" max="14354" width="14.875" style="239" customWidth="1"/>
    <col min="14355" max="14355" width="8.625" style="239" customWidth="1"/>
    <col min="14356" max="14356" width="38.125" style="239" customWidth="1"/>
    <col min="14357" max="14357" width="9" style="239" customWidth="1"/>
    <col min="14358" max="14358" width="9.25" style="239" bestFit="1" customWidth="1"/>
    <col min="14359" max="14598" width="9" style="239" customWidth="1"/>
    <col min="14599" max="14599" width="12.375" style="239" bestFit="1" customWidth="1"/>
    <col min="14600" max="14600" width="12.25" style="239" customWidth="1"/>
    <col min="14601" max="14601" width="12.75" style="239" customWidth="1"/>
    <col min="14602" max="14605" width="12.25" style="239" customWidth="1"/>
    <col min="14606" max="14606" width="13.125" style="239" customWidth="1"/>
    <col min="14607" max="14607" width="13.25" style="239" customWidth="1"/>
    <col min="14608" max="14608" width="12.25" style="239" customWidth="1"/>
    <col min="14609" max="14609" width="10.125" style="239" customWidth="1"/>
    <col min="14610" max="14610" width="14.875" style="239" customWidth="1"/>
    <col min="14611" max="14611" width="8.625" style="239" customWidth="1"/>
    <col min="14612" max="14612" width="38.125" style="239" customWidth="1"/>
    <col min="14613" max="14613" width="9" style="239" customWidth="1"/>
    <col min="14614" max="14614" width="9.25" style="239" bestFit="1" customWidth="1"/>
    <col min="14615" max="14854" width="9" style="239" customWidth="1"/>
    <col min="14855" max="14855" width="12.375" style="239" bestFit="1" customWidth="1"/>
    <col min="14856" max="14856" width="12.25" style="239" customWidth="1"/>
    <col min="14857" max="14857" width="12.75" style="239" customWidth="1"/>
    <col min="14858" max="14861" width="12.25" style="239" customWidth="1"/>
    <col min="14862" max="14862" width="13.125" style="239" customWidth="1"/>
    <col min="14863" max="14863" width="13.25" style="239" customWidth="1"/>
    <col min="14864" max="14864" width="12.25" style="239" customWidth="1"/>
    <col min="14865" max="14865" width="10.125" style="239" customWidth="1"/>
    <col min="14866" max="14866" width="14.875" style="239" customWidth="1"/>
    <col min="14867" max="14867" width="8.625" style="239" customWidth="1"/>
    <col min="14868" max="14868" width="38.125" style="239" customWidth="1"/>
    <col min="14869" max="14869" width="9" style="239" customWidth="1"/>
    <col min="14870" max="14870" width="9.25" style="239" bestFit="1" customWidth="1"/>
    <col min="14871" max="15110" width="9" style="239" customWidth="1"/>
    <col min="15111" max="15111" width="12.375" style="239" bestFit="1" customWidth="1"/>
    <col min="15112" max="15112" width="12.25" style="239" customWidth="1"/>
    <col min="15113" max="15113" width="12.75" style="239" customWidth="1"/>
    <col min="15114" max="15117" width="12.25" style="239" customWidth="1"/>
    <col min="15118" max="15118" width="13.125" style="239" customWidth="1"/>
    <col min="15119" max="15119" width="13.25" style="239" customWidth="1"/>
    <col min="15120" max="15120" width="12.25" style="239" customWidth="1"/>
    <col min="15121" max="15121" width="10.125" style="239" customWidth="1"/>
    <col min="15122" max="15122" width="14.875" style="239" customWidth="1"/>
    <col min="15123" max="15123" width="8.625" style="239" customWidth="1"/>
    <col min="15124" max="15124" width="38.125" style="239" customWidth="1"/>
    <col min="15125" max="15125" width="9" style="239" customWidth="1"/>
    <col min="15126" max="15126" width="9.25" style="239" bestFit="1" customWidth="1"/>
    <col min="15127" max="15366" width="9" style="239" customWidth="1"/>
    <col min="15367" max="15367" width="12.375" style="239" bestFit="1" customWidth="1"/>
    <col min="15368" max="15368" width="12.25" style="239" customWidth="1"/>
    <col min="15369" max="15369" width="12.75" style="239" customWidth="1"/>
    <col min="15370" max="15373" width="12.25" style="239" customWidth="1"/>
    <col min="15374" max="15374" width="13.125" style="239" customWidth="1"/>
    <col min="15375" max="15375" width="13.25" style="239" customWidth="1"/>
    <col min="15376" max="15376" width="12.25" style="239" customWidth="1"/>
    <col min="15377" max="15377" width="10.125" style="239" customWidth="1"/>
    <col min="15378" max="15378" width="14.875" style="239" customWidth="1"/>
    <col min="15379" max="15379" width="8.625" style="239" customWidth="1"/>
    <col min="15380" max="15380" width="38.125" style="239" customWidth="1"/>
    <col min="15381" max="15381" width="9" style="239" customWidth="1"/>
    <col min="15382" max="15382" width="9.25" style="239" bestFit="1" customWidth="1"/>
    <col min="15383" max="15622" width="9" style="239" customWidth="1"/>
    <col min="15623" max="15623" width="12.375" style="239" bestFit="1" customWidth="1"/>
    <col min="15624" max="15624" width="12.25" style="239" customWidth="1"/>
    <col min="15625" max="15625" width="12.75" style="239" customWidth="1"/>
    <col min="15626" max="15629" width="12.25" style="239" customWidth="1"/>
    <col min="15630" max="15630" width="13.125" style="239" customWidth="1"/>
    <col min="15631" max="15631" width="13.25" style="239" customWidth="1"/>
    <col min="15632" max="15632" width="12.25" style="239" customWidth="1"/>
    <col min="15633" max="15633" width="10.125" style="239" customWidth="1"/>
    <col min="15634" max="15634" width="14.875" style="239" customWidth="1"/>
    <col min="15635" max="15635" width="8.625" style="239" customWidth="1"/>
    <col min="15636" max="15636" width="38.125" style="239" customWidth="1"/>
    <col min="15637" max="15637" width="9" style="239" customWidth="1"/>
    <col min="15638" max="15638" width="9.25" style="239" bestFit="1" customWidth="1"/>
    <col min="15639" max="15878" width="9" style="239" customWidth="1"/>
    <col min="15879" max="15879" width="12.375" style="239" bestFit="1" customWidth="1"/>
    <col min="15880" max="15880" width="12.25" style="239" customWidth="1"/>
    <col min="15881" max="15881" width="12.75" style="239" customWidth="1"/>
    <col min="15882" max="15885" width="12.25" style="239" customWidth="1"/>
    <col min="15886" max="15886" width="13.125" style="239" customWidth="1"/>
    <col min="15887" max="15887" width="13.25" style="239" customWidth="1"/>
    <col min="15888" max="15888" width="12.25" style="239" customWidth="1"/>
    <col min="15889" max="15889" width="10.125" style="239" customWidth="1"/>
    <col min="15890" max="15890" width="14.875" style="239" customWidth="1"/>
    <col min="15891" max="15891" width="8.625" style="239" customWidth="1"/>
    <col min="15892" max="15892" width="38.125" style="239" customWidth="1"/>
    <col min="15893" max="15893" width="9" style="239" customWidth="1"/>
    <col min="15894" max="15894" width="9.25" style="239" bestFit="1" customWidth="1"/>
    <col min="15895" max="16134" width="9" style="239" customWidth="1"/>
    <col min="16135" max="16135" width="12.375" style="239" bestFit="1" customWidth="1"/>
    <col min="16136" max="16136" width="12.25" style="239" customWidth="1"/>
    <col min="16137" max="16137" width="12.75" style="239" customWidth="1"/>
    <col min="16138" max="16141" width="12.25" style="239" customWidth="1"/>
    <col min="16142" max="16142" width="13.125" style="239" customWidth="1"/>
    <col min="16143" max="16143" width="13.25" style="239" customWidth="1"/>
    <col min="16144" max="16144" width="12.25" style="239" customWidth="1"/>
    <col min="16145" max="16145" width="10.125" style="239" customWidth="1"/>
    <col min="16146" max="16146" width="14.875" style="239" customWidth="1"/>
    <col min="16147" max="16147" width="8.625" style="239" customWidth="1"/>
    <col min="16148" max="16148" width="38.125" style="239" customWidth="1"/>
    <col min="16149" max="16149" width="9" style="239" customWidth="1"/>
    <col min="16150" max="16150" width="9.25" style="239" bestFit="1" customWidth="1"/>
    <col min="16151" max="16384" width="9" style="239" customWidth="1"/>
  </cols>
  <sheetData>
    <row r="1" spans="1:21" ht="32.25" customHeight="1">
      <c r="R1" s="346" t="s">
        <v>72</v>
      </c>
      <c r="S1" s="351"/>
    </row>
    <row r="2" spans="1:21" ht="21" customHeight="1">
      <c r="A2" s="292" t="s">
        <v>290</v>
      </c>
      <c r="B2" s="292"/>
      <c r="C2" s="292"/>
      <c r="D2" s="292"/>
      <c r="E2" s="292"/>
      <c r="F2" s="292"/>
      <c r="G2" s="292"/>
      <c r="H2" s="292"/>
      <c r="I2" s="292"/>
      <c r="J2" s="292"/>
      <c r="K2" s="292"/>
      <c r="L2" s="292"/>
      <c r="M2" s="292"/>
      <c r="N2" s="292"/>
      <c r="O2" s="292"/>
      <c r="P2" s="292"/>
      <c r="Q2" s="292"/>
      <c r="R2" s="292"/>
      <c r="S2" s="292"/>
      <c r="T2" s="292"/>
    </row>
    <row r="3" spans="1:21" ht="20.25" customHeight="1">
      <c r="F3" s="333"/>
      <c r="G3" s="333"/>
      <c r="H3" s="333"/>
      <c r="O3" s="345" t="s">
        <v>89</v>
      </c>
      <c r="P3" s="345"/>
      <c r="Q3" s="345"/>
      <c r="R3" s="345"/>
    </row>
    <row r="4" spans="1:21" ht="27.75" customHeight="1">
      <c r="D4" s="320"/>
      <c r="L4" s="340" t="s">
        <v>153</v>
      </c>
      <c r="M4" s="340"/>
      <c r="N4" s="340"/>
      <c r="O4" s="340"/>
      <c r="P4" s="340"/>
      <c r="Q4" s="340"/>
      <c r="R4" s="340"/>
      <c r="S4" s="340"/>
    </row>
    <row r="5" spans="1:21" ht="11.25" customHeight="1">
      <c r="R5" s="347"/>
      <c r="S5" s="347"/>
      <c r="T5" s="361"/>
    </row>
    <row r="6" spans="1:21" s="290" customFormat="1" ht="19.5" customHeight="1">
      <c r="A6" s="293" t="s">
        <v>11</v>
      </c>
      <c r="B6" s="300" t="s">
        <v>22</v>
      </c>
      <c r="C6" s="310" t="s">
        <v>6</v>
      </c>
      <c r="D6" s="321" t="s">
        <v>14</v>
      </c>
      <c r="E6" s="328"/>
      <c r="F6" s="328"/>
      <c r="G6" s="328"/>
      <c r="H6" s="328"/>
      <c r="I6" s="328"/>
      <c r="J6" s="328"/>
      <c r="K6" s="328"/>
      <c r="L6" s="328"/>
      <c r="M6" s="328"/>
      <c r="N6" s="328"/>
      <c r="O6" s="328"/>
      <c r="P6" s="328"/>
      <c r="Q6" s="328"/>
      <c r="R6" s="300" t="s">
        <v>18</v>
      </c>
      <c r="S6" s="300" t="s">
        <v>21</v>
      </c>
    </row>
    <row r="7" spans="1:21" ht="53.25" customHeight="1">
      <c r="A7" s="293"/>
      <c r="B7" s="301"/>
      <c r="C7" s="311"/>
      <c r="D7" s="322" t="s">
        <v>23</v>
      </c>
      <c r="E7" s="310" t="s">
        <v>3</v>
      </c>
      <c r="F7" s="310" t="s">
        <v>25</v>
      </c>
      <c r="G7" s="310" t="s">
        <v>280</v>
      </c>
      <c r="H7" s="310" t="s">
        <v>26</v>
      </c>
      <c r="I7" s="310" t="s">
        <v>8</v>
      </c>
      <c r="J7" s="310" t="s">
        <v>308</v>
      </c>
      <c r="K7" s="310" t="s">
        <v>109</v>
      </c>
      <c r="L7" s="310" t="s">
        <v>310</v>
      </c>
      <c r="M7" s="310" t="s">
        <v>38</v>
      </c>
      <c r="N7" s="310" t="s">
        <v>5</v>
      </c>
      <c r="O7" s="310" t="s">
        <v>259</v>
      </c>
      <c r="P7" s="310" t="s">
        <v>50</v>
      </c>
      <c r="Q7" s="310" t="s">
        <v>15</v>
      </c>
      <c r="R7" s="348"/>
      <c r="S7" s="352"/>
      <c r="T7" s="362"/>
    </row>
    <row r="8" spans="1:21" s="290" customFormat="1" ht="24.75" customHeight="1">
      <c r="A8" s="294"/>
      <c r="B8" s="302" t="s">
        <v>176</v>
      </c>
      <c r="C8" s="312"/>
      <c r="D8" s="323"/>
      <c r="E8" s="312"/>
      <c r="F8" s="312"/>
      <c r="G8" s="312"/>
      <c r="H8" s="312"/>
      <c r="I8" s="312"/>
      <c r="J8" s="312"/>
      <c r="K8" s="312"/>
      <c r="L8" s="312"/>
      <c r="M8" s="341"/>
      <c r="N8" s="341"/>
      <c r="O8" s="341"/>
      <c r="P8" s="341"/>
      <c r="Q8" s="341"/>
      <c r="R8" s="349"/>
      <c r="S8" s="353"/>
    </row>
    <row r="9" spans="1:21" s="290" customFormat="1" ht="30" customHeight="1">
      <c r="A9" s="295"/>
      <c r="B9" s="303"/>
      <c r="C9" s="313"/>
      <c r="D9" s="324"/>
      <c r="E9" s="329"/>
      <c r="F9" s="329"/>
      <c r="G9" s="329"/>
      <c r="H9" s="329"/>
      <c r="I9" s="329"/>
      <c r="J9" s="329"/>
      <c r="K9" s="329"/>
      <c r="L9" s="329"/>
      <c r="M9" s="342"/>
      <c r="N9" s="342"/>
      <c r="O9" s="342"/>
      <c r="P9" s="342"/>
      <c r="Q9" s="342"/>
      <c r="R9" s="329">
        <f t="shared" ref="R9:R28" si="0">+R8+C9-SUM(D9:Q9)</f>
        <v>0</v>
      </c>
      <c r="S9" s="354"/>
      <c r="T9" s="363"/>
      <c r="U9" s="365"/>
    </row>
    <row r="10" spans="1:21" s="290" customFormat="1" ht="30" customHeight="1">
      <c r="A10" s="295"/>
      <c r="B10" s="304"/>
      <c r="C10" s="314"/>
      <c r="D10" s="324"/>
      <c r="E10" s="329"/>
      <c r="F10" s="329"/>
      <c r="G10" s="329"/>
      <c r="H10" s="329"/>
      <c r="I10" s="329"/>
      <c r="J10" s="329"/>
      <c r="K10" s="329"/>
      <c r="L10" s="329"/>
      <c r="M10" s="342"/>
      <c r="N10" s="342"/>
      <c r="O10" s="342"/>
      <c r="P10" s="342"/>
      <c r="Q10" s="342"/>
      <c r="R10" s="329">
        <f t="shared" si="0"/>
        <v>0</v>
      </c>
      <c r="S10" s="355"/>
      <c r="U10" s="365"/>
    </row>
    <row r="11" spans="1:21" s="290" customFormat="1" ht="30" customHeight="1">
      <c r="A11" s="295"/>
      <c r="B11" s="304"/>
      <c r="C11" s="314"/>
      <c r="D11" s="324"/>
      <c r="E11" s="329"/>
      <c r="F11" s="329"/>
      <c r="G11" s="329"/>
      <c r="H11" s="329"/>
      <c r="I11" s="329"/>
      <c r="J11" s="329"/>
      <c r="K11" s="329"/>
      <c r="L11" s="329"/>
      <c r="M11" s="342"/>
      <c r="N11" s="342"/>
      <c r="O11" s="342"/>
      <c r="P11" s="342"/>
      <c r="Q11" s="342"/>
      <c r="R11" s="329">
        <f t="shared" si="0"/>
        <v>0</v>
      </c>
      <c r="S11" s="355"/>
      <c r="U11" s="365"/>
    </row>
    <row r="12" spans="1:21" s="290" customFormat="1" ht="30" customHeight="1">
      <c r="A12" s="295"/>
      <c r="B12" s="304"/>
      <c r="C12" s="314"/>
      <c r="D12" s="324"/>
      <c r="E12" s="329"/>
      <c r="F12" s="329"/>
      <c r="G12" s="329"/>
      <c r="H12" s="329"/>
      <c r="I12" s="329"/>
      <c r="J12" s="329"/>
      <c r="K12" s="329"/>
      <c r="L12" s="329"/>
      <c r="M12" s="342"/>
      <c r="N12" s="342"/>
      <c r="O12" s="342"/>
      <c r="P12" s="342"/>
      <c r="Q12" s="342"/>
      <c r="R12" s="329">
        <f t="shared" si="0"/>
        <v>0</v>
      </c>
      <c r="S12" s="355"/>
      <c r="U12" s="365"/>
    </row>
    <row r="13" spans="1:21" s="290" customFormat="1" ht="30" customHeight="1">
      <c r="A13" s="295"/>
      <c r="B13" s="305"/>
      <c r="C13" s="314"/>
      <c r="D13" s="324"/>
      <c r="E13" s="329"/>
      <c r="F13" s="329"/>
      <c r="G13" s="329"/>
      <c r="H13" s="329"/>
      <c r="I13" s="329"/>
      <c r="J13" s="329"/>
      <c r="K13" s="329"/>
      <c r="L13" s="329"/>
      <c r="M13" s="342"/>
      <c r="N13" s="342"/>
      <c r="O13" s="342"/>
      <c r="P13" s="342"/>
      <c r="Q13" s="342"/>
      <c r="R13" s="329">
        <f t="shared" si="0"/>
        <v>0</v>
      </c>
      <c r="S13" s="355"/>
      <c r="U13" s="365"/>
    </row>
    <row r="14" spans="1:21" s="290" customFormat="1" ht="30" customHeight="1">
      <c r="A14" s="295"/>
      <c r="B14" s="304"/>
      <c r="C14" s="314"/>
      <c r="D14" s="324"/>
      <c r="E14" s="329"/>
      <c r="F14" s="329"/>
      <c r="G14" s="329"/>
      <c r="H14" s="329"/>
      <c r="I14" s="329"/>
      <c r="J14" s="329"/>
      <c r="K14" s="329"/>
      <c r="L14" s="329"/>
      <c r="M14" s="342"/>
      <c r="N14" s="342"/>
      <c r="O14" s="342"/>
      <c r="P14" s="342"/>
      <c r="Q14" s="342"/>
      <c r="R14" s="329">
        <f t="shared" si="0"/>
        <v>0</v>
      </c>
      <c r="S14" s="355"/>
      <c r="U14" s="365"/>
    </row>
    <row r="15" spans="1:21" s="290" customFormat="1" ht="30" customHeight="1">
      <c r="A15" s="295"/>
      <c r="B15" s="305"/>
      <c r="C15" s="314"/>
      <c r="D15" s="324"/>
      <c r="E15" s="329"/>
      <c r="F15" s="329"/>
      <c r="G15" s="329"/>
      <c r="H15" s="329"/>
      <c r="I15" s="329"/>
      <c r="J15" s="329"/>
      <c r="K15" s="329"/>
      <c r="L15" s="329"/>
      <c r="M15" s="342"/>
      <c r="N15" s="342"/>
      <c r="O15" s="342"/>
      <c r="P15" s="342"/>
      <c r="Q15" s="342"/>
      <c r="R15" s="329">
        <f t="shared" si="0"/>
        <v>0</v>
      </c>
      <c r="S15" s="355"/>
      <c r="U15" s="365"/>
    </row>
    <row r="16" spans="1:21" s="290" customFormat="1" ht="30" customHeight="1">
      <c r="A16" s="295"/>
      <c r="B16" s="305"/>
      <c r="C16" s="314"/>
      <c r="D16" s="324"/>
      <c r="E16" s="329"/>
      <c r="F16" s="329"/>
      <c r="G16" s="329"/>
      <c r="H16" s="329"/>
      <c r="I16" s="329"/>
      <c r="J16" s="329"/>
      <c r="K16" s="329"/>
      <c r="L16" s="329"/>
      <c r="M16" s="342"/>
      <c r="N16" s="342"/>
      <c r="O16" s="342"/>
      <c r="P16" s="342"/>
      <c r="Q16" s="342"/>
      <c r="R16" s="329">
        <f t="shared" si="0"/>
        <v>0</v>
      </c>
      <c r="S16" s="355"/>
      <c r="U16" s="365"/>
    </row>
    <row r="17" spans="1:21" s="290" customFormat="1" ht="30" customHeight="1">
      <c r="A17" s="295"/>
      <c r="B17" s="305"/>
      <c r="C17" s="314"/>
      <c r="D17" s="324"/>
      <c r="E17" s="329"/>
      <c r="F17" s="329"/>
      <c r="G17" s="329"/>
      <c r="H17" s="329"/>
      <c r="I17" s="329"/>
      <c r="J17" s="329"/>
      <c r="K17" s="329"/>
      <c r="L17" s="329"/>
      <c r="M17" s="342"/>
      <c r="N17" s="342"/>
      <c r="O17" s="342"/>
      <c r="P17" s="342"/>
      <c r="Q17" s="342"/>
      <c r="R17" s="329">
        <f t="shared" si="0"/>
        <v>0</v>
      </c>
      <c r="S17" s="355"/>
      <c r="U17" s="365"/>
    </row>
    <row r="18" spans="1:21" s="290" customFormat="1" ht="30" customHeight="1">
      <c r="A18" s="295"/>
      <c r="B18" s="305"/>
      <c r="C18" s="314"/>
      <c r="D18" s="324"/>
      <c r="E18" s="329"/>
      <c r="F18" s="329"/>
      <c r="G18" s="329"/>
      <c r="H18" s="329"/>
      <c r="I18" s="329"/>
      <c r="J18" s="329"/>
      <c r="K18" s="329"/>
      <c r="L18" s="329"/>
      <c r="M18" s="342"/>
      <c r="N18" s="342"/>
      <c r="O18" s="342"/>
      <c r="P18" s="342"/>
      <c r="Q18" s="342"/>
      <c r="R18" s="329">
        <f t="shared" si="0"/>
        <v>0</v>
      </c>
      <c r="S18" s="355"/>
      <c r="U18" s="365"/>
    </row>
    <row r="19" spans="1:21" s="290" customFormat="1" ht="30" customHeight="1">
      <c r="A19" s="295"/>
      <c r="B19" s="304"/>
      <c r="C19" s="314"/>
      <c r="D19" s="324"/>
      <c r="E19" s="329"/>
      <c r="F19" s="329"/>
      <c r="G19" s="329"/>
      <c r="H19" s="329"/>
      <c r="I19" s="329"/>
      <c r="J19" s="329"/>
      <c r="K19" s="329"/>
      <c r="L19" s="329"/>
      <c r="M19" s="342"/>
      <c r="N19" s="342"/>
      <c r="O19" s="342"/>
      <c r="P19" s="342"/>
      <c r="Q19" s="342"/>
      <c r="R19" s="329">
        <f t="shared" si="0"/>
        <v>0</v>
      </c>
      <c r="S19" s="355"/>
      <c r="U19" s="365"/>
    </row>
    <row r="20" spans="1:21" s="290" customFormat="1" ht="30" customHeight="1">
      <c r="A20" s="295"/>
      <c r="B20" s="304"/>
      <c r="C20" s="314"/>
      <c r="D20" s="324"/>
      <c r="E20" s="329"/>
      <c r="F20" s="329"/>
      <c r="G20" s="329"/>
      <c r="H20" s="329"/>
      <c r="I20" s="329"/>
      <c r="J20" s="329"/>
      <c r="K20" s="329"/>
      <c r="L20" s="329"/>
      <c r="M20" s="342"/>
      <c r="N20" s="342"/>
      <c r="O20" s="342"/>
      <c r="P20" s="342"/>
      <c r="Q20" s="342"/>
      <c r="R20" s="329">
        <f t="shared" si="0"/>
        <v>0</v>
      </c>
      <c r="S20" s="355"/>
      <c r="U20" s="365"/>
    </row>
    <row r="21" spans="1:21" s="290" customFormat="1" ht="30" customHeight="1">
      <c r="A21" s="295"/>
      <c r="B21" s="305"/>
      <c r="C21" s="314"/>
      <c r="D21" s="324"/>
      <c r="E21" s="329"/>
      <c r="F21" s="329"/>
      <c r="G21" s="329"/>
      <c r="H21" s="329"/>
      <c r="I21" s="329"/>
      <c r="J21" s="329"/>
      <c r="K21" s="329"/>
      <c r="L21" s="329"/>
      <c r="M21" s="342"/>
      <c r="N21" s="342"/>
      <c r="O21" s="342"/>
      <c r="P21" s="342"/>
      <c r="Q21" s="342"/>
      <c r="R21" s="329">
        <f t="shared" si="0"/>
        <v>0</v>
      </c>
      <c r="S21" s="355"/>
      <c r="U21" s="365"/>
    </row>
    <row r="22" spans="1:21" s="290" customFormat="1" ht="30" customHeight="1">
      <c r="A22" s="295"/>
      <c r="B22" s="304"/>
      <c r="C22" s="314"/>
      <c r="D22" s="324"/>
      <c r="E22" s="329"/>
      <c r="F22" s="329"/>
      <c r="G22" s="329"/>
      <c r="H22" s="329"/>
      <c r="I22" s="329"/>
      <c r="J22" s="329"/>
      <c r="K22" s="329"/>
      <c r="L22" s="329"/>
      <c r="M22" s="342"/>
      <c r="N22" s="342"/>
      <c r="O22" s="342"/>
      <c r="P22" s="342"/>
      <c r="Q22" s="342"/>
      <c r="R22" s="329">
        <f t="shared" si="0"/>
        <v>0</v>
      </c>
      <c r="S22" s="355"/>
      <c r="U22" s="365"/>
    </row>
    <row r="23" spans="1:21" s="290" customFormat="1" ht="30" customHeight="1">
      <c r="A23" s="295"/>
      <c r="B23" s="304"/>
      <c r="C23" s="314"/>
      <c r="D23" s="324"/>
      <c r="E23" s="329"/>
      <c r="F23" s="329"/>
      <c r="G23" s="329"/>
      <c r="H23" s="329"/>
      <c r="I23" s="329"/>
      <c r="J23" s="329"/>
      <c r="K23" s="329"/>
      <c r="L23" s="329"/>
      <c r="M23" s="342"/>
      <c r="N23" s="342"/>
      <c r="O23" s="342"/>
      <c r="P23" s="342"/>
      <c r="Q23" s="342"/>
      <c r="R23" s="329">
        <f t="shared" si="0"/>
        <v>0</v>
      </c>
      <c r="S23" s="355"/>
      <c r="U23" s="365"/>
    </row>
    <row r="24" spans="1:21" s="290" customFormat="1" ht="30" customHeight="1">
      <c r="A24" s="295"/>
      <c r="B24" s="304"/>
      <c r="C24" s="314"/>
      <c r="D24" s="324"/>
      <c r="E24" s="329"/>
      <c r="F24" s="329"/>
      <c r="G24" s="329"/>
      <c r="H24" s="329"/>
      <c r="I24" s="329"/>
      <c r="J24" s="329"/>
      <c r="K24" s="329"/>
      <c r="L24" s="329"/>
      <c r="M24" s="342"/>
      <c r="N24" s="342"/>
      <c r="O24" s="342"/>
      <c r="P24" s="342"/>
      <c r="Q24" s="342"/>
      <c r="R24" s="329">
        <f t="shared" si="0"/>
        <v>0</v>
      </c>
      <c r="S24" s="355"/>
      <c r="U24" s="365"/>
    </row>
    <row r="25" spans="1:21" s="290" customFormat="1" ht="30" customHeight="1">
      <c r="A25" s="295"/>
      <c r="B25" s="304"/>
      <c r="C25" s="314"/>
      <c r="D25" s="324"/>
      <c r="E25" s="329"/>
      <c r="F25" s="329"/>
      <c r="G25" s="329"/>
      <c r="H25" s="329"/>
      <c r="I25" s="329"/>
      <c r="J25" s="329"/>
      <c r="K25" s="329"/>
      <c r="L25" s="329"/>
      <c r="M25" s="342"/>
      <c r="N25" s="342"/>
      <c r="O25" s="342"/>
      <c r="P25" s="342"/>
      <c r="Q25" s="342"/>
      <c r="R25" s="329">
        <f t="shared" si="0"/>
        <v>0</v>
      </c>
      <c r="S25" s="355"/>
      <c r="U25" s="365"/>
    </row>
    <row r="26" spans="1:21" s="290" customFormat="1" ht="30" customHeight="1">
      <c r="A26" s="295"/>
      <c r="B26" s="304"/>
      <c r="C26" s="314"/>
      <c r="D26" s="324"/>
      <c r="E26" s="329"/>
      <c r="F26" s="329"/>
      <c r="G26" s="329"/>
      <c r="H26" s="329"/>
      <c r="I26" s="329"/>
      <c r="J26" s="329"/>
      <c r="K26" s="329"/>
      <c r="L26" s="329"/>
      <c r="M26" s="342"/>
      <c r="N26" s="342"/>
      <c r="O26" s="342"/>
      <c r="P26" s="342"/>
      <c r="Q26" s="342"/>
      <c r="R26" s="329">
        <f t="shared" si="0"/>
        <v>0</v>
      </c>
      <c r="S26" s="355"/>
      <c r="U26" s="365"/>
    </row>
    <row r="27" spans="1:21" s="290" customFormat="1" ht="30" customHeight="1">
      <c r="A27" s="295"/>
      <c r="B27" s="304"/>
      <c r="C27" s="315"/>
      <c r="D27" s="325"/>
      <c r="E27" s="330"/>
      <c r="F27" s="330"/>
      <c r="G27" s="330"/>
      <c r="H27" s="330"/>
      <c r="I27" s="330"/>
      <c r="J27" s="330"/>
      <c r="K27" s="330"/>
      <c r="L27" s="330"/>
      <c r="M27" s="343"/>
      <c r="N27" s="343"/>
      <c r="O27" s="343"/>
      <c r="P27" s="343"/>
      <c r="Q27" s="343"/>
      <c r="R27" s="329">
        <f t="shared" si="0"/>
        <v>0</v>
      </c>
      <c r="S27" s="356"/>
      <c r="U27" s="365"/>
    </row>
    <row r="28" spans="1:21" s="290" customFormat="1" ht="30" customHeight="1">
      <c r="A28" s="294"/>
      <c r="B28" s="306"/>
      <c r="C28" s="316"/>
      <c r="D28" s="326"/>
      <c r="E28" s="331"/>
      <c r="F28" s="331"/>
      <c r="G28" s="331"/>
      <c r="H28" s="331"/>
      <c r="I28" s="331"/>
      <c r="J28" s="331"/>
      <c r="K28" s="331"/>
      <c r="L28" s="331"/>
      <c r="M28" s="344"/>
      <c r="N28" s="344"/>
      <c r="O28" s="344"/>
      <c r="P28" s="344"/>
      <c r="Q28" s="344"/>
      <c r="R28" s="329">
        <f t="shared" si="0"/>
        <v>0</v>
      </c>
      <c r="S28" s="357"/>
      <c r="U28" s="365"/>
    </row>
    <row r="29" spans="1:21" s="290" customFormat="1" ht="30" customHeight="1">
      <c r="A29" s="296" t="s">
        <v>0</v>
      </c>
      <c r="B29" s="307"/>
      <c r="C29" s="317">
        <f t="shared" ref="C29:Q29" si="1">SUM(C9:C28)</f>
        <v>0</v>
      </c>
      <c r="D29" s="317">
        <f t="shared" si="1"/>
        <v>0</v>
      </c>
      <c r="E29" s="317">
        <f t="shared" si="1"/>
        <v>0</v>
      </c>
      <c r="F29" s="317">
        <f t="shared" si="1"/>
        <v>0</v>
      </c>
      <c r="G29" s="317">
        <f t="shared" si="1"/>
        <v>0</v>
      </c>
      <c r="H29" s="317">
        <f t="shared" si="1"/>
        <v>0</v>
      </c>
      <c r="I29" s="317">
        <f t="shared" si="1"/>
        <v>0</v>
      </c>
      <c r="J29" s="317">
        <f t="shared" si="1"/>
        <v>0</v>
      </c>
      <c r="K29" s="317">
        <f t="shared" si="1"/>
        <v>0</v>
      </c>
      <c r="L29" s="317">
        <f t="shared" si="1"/>
        <v>0</v>
      </c>
      <c r="M29" s="317">
        <f t="shared" si="1"/>
        <v>0</v>
      </c>
      <c r="N29" s="317">
        <f t="shared" si="1"/>
        <v>0</v>
      </c>
      <c r="O29" s="317">
        <f t="shared" si="1"/>
        <v>0</v>
      </c>
      <c r="P29" s="317">
        <f t="shared" si="1"/>
        <v>0</v>
      </c>
      <c r="Q29" s="317">
        <f t="shared" si="1"/>
        <v>0</v>
      </c>
      <c r="R29" s="350"/>
      <c r="S29" s="307"/>
      <c r="U29" s="365"/>
    </row>
    <row r="30" spans="1:21" ht="30" customHeight="1"/>
    <row r="31" spans="1:21" ht="24">
      <c r="A31" s="297" t="s">
        <v>41</v>
      </c>
      <c r="B31" s="297"/>
      <c r="C31" s="297"/>
    </row>
    <row r="32" spans="1:21" s="280" customFormat="1" ht="18.75">
      <c r="A32" s="298" t="s">
        <v>278</v>
      </c>
      <c r="C32" s="298"/>
      <c r="D32" s="327"/>
      <c r="E32" s="327"/>
      <c r="F32" s="327"/>
    </row>
    <row r="33" spans="1:20" s="280" customFormat="1" ht="22.5" customHeight="1">
      <c r="A33" s="298" t="s">
        <v>78</v>
      </c>
      <c r="C33" s="298"/>
      <c r="D33" s="327"/>
      <c r="E33" s="327"/>
      <c r="F33" s="327"/>
    </row>
    <row r="34" spans="1:20" s="280" customFormat="1" ht="18.75" customHeight="1">
      <c r="A34" s="217" t="s">
        <v>46</v>
      </c>
      <c r="B34" s="217"/>
      <c r="C34" s="217"/>
      <c r="D34" s="217"/>
      <c r="E34" s="217"/>
      <c r="F34" s="217"/>
      <c r="G34" s="217"/>
      <c r="H34" s="217"/>
      <c r="I34" s="217"/>
      <c r="J34" s="217"/>
      <c r="K34" s="217"/>
      <c r="L34" s="217"/>
      <c r="M34" s="217"/>
      <c r="N34" s="217"/>
      <c r="O34" s="217"/>
      <c r="P34" s="217"/>
      <c r="Q34" s="217"/>
      <c r="R34" s="217"/>
      <c r="S34" s="217"/>
      <c r="T34" s="364"/>
    </row>
    <row r="35" spans="1:20" s="280" customFormat="1" ht="24.75" customHeight="1">
      <c r="A35" s="217"/>
      <c r="B35" s="217"/>
      <c r="C35" s="217"/>
      <c r="D35" s="217"/>
      <c r="E35" s="217"/>
      <c r="F35" s="217"/>
      <c r="G35" s="217"/>
      <c r="H35" s="217"/>
      <c r="I35" s="217"/>
      <c r="J35" s="217"/>
      <c r="K35" s="217"/>
      <c r="L35" s="217"/>
      <c r="M35" s="217"/>
      <c r="N35" s="217"/>
      <c r="O35" s="217"/>
      <c r="P35" s="217"/>
      <c r="Q35" s="217"/>
      <c r="R35" s="217"/>
      <c r="S35" s="217"/>
      <c r="T35" s="364"/>
    </row>
    <row r="36" spans="1:20" s="280" customFormat="1" ht="18.75">
      <c r="A36" s="218" t="s">
        <v>235</v>
      </c>
      <c r="B36" s="218"/>
      <c r="C36" s="218"/>
      <c r="D36" s="218"/>
      <c r="E36" s="218"/>
      <c r="F36" s="218"/>
      <c r="G36" s="218"/>
      <c r="H36" s="218"/>
      <c r="I36" s="218"/>
      <c r="J36" s="218"/>
      <c r="K36" s="218"/>
      <c r="L36" s="218"/>
      <c r="M36" s="218"/>
      <c r="N36" s="218"/>
      <c r="O36" s="218"/>
      <c r="P36" s="218"/>
      <c r="Q36" s="218"/>
      <c r="R36" s="218"/>
    </row>
    <row r="37" spans="1:20" s="280" customFormat="1" ht="18.75">
      <c r="A37" s="218"/>
      <c r="B37" s="218"/>
      <c r="C37" s="218"/>
      <c r="D37" s="218"/>
      <c r="E37" s="218"/>
      <c r="F37" s="218"/>
      <c r="G37" s="218"/>
      <c r="H37" s="218"/>
      <c r="I37" s="218"/>
      <c r="J37" s="218"/>
      <c r="K37" s="218"/>
      <c r="L37" s="218"/>
      <c r="M37" s="218"/>
      <c r="N37" s="218"/>
      <c r="O37" s="218"/>
      <c r="P37" s="218"/>
      <c r="Q37" s="218"/>
      <c r="R37" s="218"/>
    </row>
    <row r="38" spans="1:20" ht="23.25" customHeight="1">
      <c r="B38" s="218" t="s">
        <v>47</v>
      </c>
    </row>
    <row r="39" spans="1:20" ht="20.100000000000001" customHeight="1">
      <c r="B39" s="308"/>
      <c r="C39" s="318" t="s">
        <v>49</v>
      </c>
      <c r="D39" s="318"/>
      <c r="E39" s="318" t="s">
        <v>19</v>
      </c>
      <c r="F39" s="318"/>
      <c r="G39" s="318"/>
      <c r="H39" s="318"/>
      <c r="I39" s="318"/>
      <c r="J39" s="334" t="s">
        <v>51</v>
      </c>
      <c r="K39" s="337"/>
      <c r="L39" s="337"/>
      <c r="M39" s="337"/>
      <c r="N39" s="337"/>
      <c r="O39" s="337"/>
      <c r="P39" s="337"/>
      <c r="Q39" s="337"/>
      <c r="R39" s="337"/>
      <c r="S39" s="358"/>
    </row>
    <row r="40" spans="1:20" s="291" customFormat="1" ht="19.5" customHeight="1">
      <c r="A40" s="299"/>
      <c r="B40" s="309" t="s">
        <v>1</v>
      </c>
      <c r="C40" s="319" t="s">
        <v>40</v>
      </c>
      <c r="D40" s="319"/>
      <c r="E40" s="332" t="s">
        <v>54</v>
      </c>
      <c r="F40" s="332"/>
      <c r="G40" s="332"/>
      <c r="H40" s="332"/>
      <c r="I40" s="332"/>
      <c r="J40" s="335" t="s">
        <v>44</v>
      </c>
      <c r="K40" s="338"/>
      <c r="L40" s="338"/>
      <c r="M40" s="338"/>
      <c r="N40" s="338"/>
      <c r="O40" s="338"/>
      <c r="P40" s="338"/>
      <c r="Q40" s="338"/>
      <c r="R40" s="338"/>
      <c r="S40" s="359"/>
      <c r="T40" s="280"/>
    </row>
    <row r="41" spans="1:20" s="291" customFormat="1" ht="18.75" customHeight="1">
      <c r="A41" s="299"/>
      <c r="B41" s="309" t="s">
        <v>55</v>
      </c>
      <c r="C41" s="319" t="s">
        <v>23</v>
      </c>
      <c r="D41" s="319"/>
      <c r="E41" s="332" t="s">
        <v>36</v>
      </c>
      <c r="F41" s="332"/>
      <c r="G41" s="332"/>
      <c r="H41" s="332"/>
      <c r="I41" s="332"/>
      <c r="J41" s="335" t="s">
        <v>56</v>
      </c>
      <c r="K41" s="338"/>
      <c r="L41" s="338"/>
      <c r="M41" s="338"/>
      <c r="N41" s="338"/>
      <c r="O41" s="338"/>
      <c r="P41" s="338"/>
      <c r="Q41" s="338"/>
      <c r="R41" s="338"/>
      <c r="S41" s="359"/>
    </row>
    <row r="42" spans="1:20" s="291" customFormat="1" ht="17.25">
      <c r="A42" s="299"/>
      <c r="B42" s="309"/>
      <c r="C42" s="319" t="s">
        <v>3</v>
      </c>
      <c r="D42" s="319"/>
      <c r="E42" s="332" t="s">
        <v>57</v>
      </c>
      <c r="F42" s="332"/>
      <c r="G42" s="332"/>
      <c r="H42" s="332"/>
      <c r="I42" s="332"/>
      <c r="J42" s="335" t="s">
        <v>265</v>
      </c>
      <c r="K42" s="338"/>
      <c r="L42" s="338"/>
      <c r="M42" s="338"/>
      <c r="N42" s="338"/>
      <c r="O42" s="338"/>
      <c r="P42" s="338"/>
      <c r="Q42" s="338"/>
      <c r="R42" s="338"/>
      <c r="S42" s="359"/>
    </row>
    <row r="43" spans="1:20" s="291" customFormat="1" ht="17.25">
      <c r="A43" s="299"/>
      <c r="B43" s="309"/>
      <c r="C43" s="319" t="s">
        <v>25</v>
      </c>
      <c r="D43" s="319"/>
      <c r="E43" s="332" t="s">
        <v>266</v>
      </c>
      <c r="F43" s="332"/>
      <c r="G43" s="332"/>
      <c r="H43" s="332"/>
      <c r="I43" s="332"/>
      <c r="J43" s="335" t="s">
        <v>267</v>
      </c>
      <c r="K43" s="338"/>
      <c r="L43" s="338"/>
      <c r="M43" s="338"/>
      <c r="N43" s="338"/>
      <c r="O43" s="338"/>
      <c r="P43" s="338"/>
      <c r="Q43" s="338"/>
      <c r="R43" s="338"/>
      <c r="S43" s="359"/>
    </row>
    <row r="44" spans="1:20" s="291" customFormat="1" ht="17.25">
      <c r="A44" s="299"/>
      <c r="B44" s="309"/>
      <c r="C44" s="319" t="s">
        <v>326</v>
      </c>
      <c r="D44" s="319"/>
      <c r="E44" s="332" t="s">
        <v>58</v>
      </c>
      <c r="F44" s="332"/>
      <c r="G44" s="332"/>
      <c r="H44" s="332"/>
      <c r="I44" s="332"/>
      <c r="J44" s="335" t="s">
        <v>257</v>
      </c>
      <c r="K44" s="338"/>
      <c r="L44" s="338"/>
      <c r="M44" s="338"/>
      <c r="N44" s="338"/>
      <c r="O44" s="338"/>
      <c r="P44" s="338"/>
      <c r="Q44" s="338"/>
      <c r="R44" s="338"/>
      <c r="S44" s="359"/>
    </row>
    <row r="45" spans="1:20" s="291" customFormat="1" ht="17.25">
      <c r="A45" s="299"/>
      <c r="B45" s="309"/>
      <c r="C45" s="319" t="s">
        <v>13</v>
      </c>
      <c r="D45" s="319"/>
      <c r="E45" s="332" t="s">
        <v>59</v>
      </c>
      <c r="F45" s="332"/>
      <c r="G45" s="332"/>
      <c r="H45" s="332"/>
      <c r="I45" s="332"/>
      <c r="J45" s="335" t="s">
        <v>173</v>
      </c>
      <c r="K45" s="338"/>
      <c r="L45" s="338"/>
      <c r="M45" s="338"/>
      <c r="N45" s="338"/>
      <c r="O45" s="338"/>
      <c r="P45" s="338"/>
      <c r="Q45" s="338"/>
      <c r="R45" s="338"/>
      <c r="S45" s="359"/>
    </row>
    <row r="46" spans="1:20" s="291" customFormat="1" ht="17.25">
      <c r="A46" s="299"/>
      <c r="B46" s="309"/>
      <c r="C46" s="319" t="s">
        <v>61</v>
      </c>
      <c r="D46" s="319"/>
      <c r="E46" s="332" t="s">
        <v>62</v>
      </c>
      <c r="F46" s="332"/>
      <c r="G46" s="332"/>
      <c r="H46" s="332"/>
      <c r="I46" s="332"/>
      <c r="J46" s="335" t="s">
        <v>52</v>
      </c>
      <c r="K46" s="338"/>
      <c r="L46" s="338"/>
      <c r="M46" s="338"/>
      <c r="N46" s="338"/>
      <c r="O46" s="338"/>
      <c r="P46" s="338"/>
      <c r="Q46" s="338"/>
      <c r="R46" s="338"/>
      <c r="S46" s="359"/>
    </row>
    <row r="47" spans="1:20" s="291" customFormat="1" ht="17.25">
      <c r="A47" s="299"/>
      <c r="B47" s="309"/>
      <c r="C47" s="319" t="s">
        <v>66</v>
      </c>
      <c r="D47" s="319"/>
      <c r="E47" s="332" t="s">
        <v>43</v>
      </c>
      <c r="F47" s="332"/>
      <c r="G47" s="332"/>
      <c r="H47" s="332"/>
      <c r="I47" s="332"/>
      <c r="J47" s="335" t="s">
        <v>252</v>
      </c>
      <c r="K47" s="338"/>
      <c r="L47" s="338"/>
      <c r="M47" s="338"/>
      <c r="N47" s="338"/>
      <c r="O47" s="338"/>
      <c r="P47" s="338"/>
      <c r="Q47" s="338"/>
      <c r="R47" s="338"/>
      <c r="S47" s="359"/>
    </row>
    <row r="48" spans="1:20" s="291" customFormat="1" ht="17.25">
      <c r="A48" s="299"/>
      <c r="B48" s="309"/>
      <c r="C48" s="319" t="s">
        <v>92</v>
      </c>
      <c r="D48" s="319"/>
      <c r="E48" s="332" t="s">
        <v>325</v>
      </c>
      <c r="F48" s="332"/>
      <c r="G48" s="332"/>
      <c r="H48" s="332"/>
      <c r="I48" s="332"/>
      <c r="J48" s="336" t="s">
        <v>273</v>
      </c>
      <c r="K48" s="339"/>
      <c r="L48" s="339"/>
      <c r="M48" s="339"/>
      <c r="N48" s="339"/>
      <c r="O48" s="339"/>
      <c r="P48" s="339"/>
      <c r="Q48" s="339"/>
      <c r="R48" s="339"/>
      <c r="S48" s="360"/>
    </row>
    <row r="49" spans="1:22" s="291" customFormat="1" ht="17.25">
      <c r="A49" s="299"/>
      <c r="B49" s="309"/>
      <c r="C49" s="319" t="s">
        <v>68</v>
      </c>
      <c r="D49" s="319"/>
      <c r="E49" s="332" t="s">
        <v>17</v>
      </c>
      <c r="F49" s="332"/>
      <c r="G49" s="332"/>
      <c r="H49" s="332"/>
      <c r="I49" s="332"/>
      <c r="J49" s="335" t="s">
        <v>65</v>
      </c>
      <c r="K49" s="338"/>
      <c r="L49" s="338"/>
      <c r="M49" s="338"/>
      <c r="N49" s="338"/>
      <c r="O49" s="338"/>
      <c r="P49" s="338"/>
      <c r="Q49" s="338"/>
      <c r="R49" s="338"/>
      <c r="S49" s="359"/>
    </row>
    <row r="50" spans="1:22" s="291" customFormat="1" ht="17.25">
      <c r="A50" s="299"/>
      <c r="B50" s="309"/>
      <c r="C50" s="319" t="s">
        <v>261</v>
      </c>
      <c r="D50" s="319"/>
      <c r="E50" s="332" t="s">
        <v>262</v>
      </c>
      <c r="F50" s="332"/>
      <c r="G50" s="332"/>
      <c r="H50" s="332"/>
      <c r="I50" s="332"/>
      <c r="J50" s="335" t="s">
        <v>264</v>
      </c>
      <c r="K50" s="338"/>
      <c r="L50" s="338"/>
      <c r="M50" s="338"/>
      <c r="N50" s="338"/>
      <c r="O50" s="338"/>
      <c r="P50" s="338"/>
      <c r="Q50" s="338"/>
      <c r="R50" s="338"/>
      <c r="S50" s="359"/>
    </row>
    <row r="51" spans="1:22" s="291" customFormat="1" ht="17.25">
      <c r="A51" s="299"/>
      <c r="B51" s="309"/>
      <c r="C51" s="319" t="s">
        <v>97</v>
      </c>
      <c r="D51" s="319"/>
      <c r="E51" s="332" t="s">
        <v>161</v>
      </c>
      <c r="F51" s="332"/>
      <c r="G51" s="332"/>
      <c r="H51" s="332"/>
      <c r="I51" s="332"/>
      <c r="J51" s="335"/>
      <c r="K51" s="338"/>
      <c r="L51" s="338"/>
      <c r="M51" s="338"/>
      <c r="N51" s="338"/>
      <c r="O51" s="338"/>
      <c r="P51" s="338"/>
      <c r="Q51" s="338"/>
      <c r="R51" s="338"/>
      <c r="S51" s="359"/>
    </row>
    <row r="52" spans="1:22" s="291" customFormat="1" ht="17.25">
      <c r="A52" s="299"/>
      <c r="B52" s="309"/>
      <c r="C52" s="319" t="s">
        <v>260</v>
      </c>
      <c r="D52" s="319"/>
      <c r="E52" s="332" t="s">
        <v>154</v>
      </c>
      <c r="F52" s="332"/>
      <c r="G52" s="332"/>
      <c r="H52" s="332"/>
      <c r="I52" s="332"/>
      <c r="J52" s="335" t="s">
        <v>268</v>
      </c>
      <c r="K52" s="338"/>
      <c r="L52" s="338"/>
      <c r="M52" s="338"/>
      <c r="N52" s="338"/>
      <c r="O52" s="338"/>
      <c r="P52" s="338"/>
      <c r="Q52" s="338"/>
      <c r="R52" s="338"/>
      <c r="S52" s="359"/>
    </row>
    <row r="53" spans="1:22" s="291" customFormat="1" ht="17.25">
      <c r="A53" s="299"/>
      <c r="B53" s="309"/>
      <c r="C53" s="319" t="s">
        <v>98</v>
      </c>
      <c r="D53" s="319"/>
      <c r="E53" s="332" t="s">
        <v>269</v>
      </c>
      <c r="F53" s="332"/>
      <c r="G53" s="332"/>
      <c r="H53" s="332"/>
      <c r="I53" s="332"/>
      <c r="J53" s="335" t="s">
        <v>270</v>
      </c>
      <c r="K53" s="338"/>
      <c r="L53" s="338"/>
      <c r="M53" s="338"/>
      <c r="N53" s="338"/>
      <c r="O53" s="338"/>
      <c r="P53" s="338"/>
      <c r="Q53" s="338"/>
      <c r="R53" s="338"/>
      <c r="S53" s="359"/>
    </row>
    <row r="54" spans="1:22" s="291" customFormat="1" ht="19.5" customHeight="1">
      <c r="A54" s="299"/>
      <c r="B54" s="309"/>
      <c r="C54" s="319" t="s">
        <v>15</v>
      </c>
      <c r="D54" s="319"/>
      <c r="E54" s="332" t="s">
        <v>271</v>
      </c>
      <c r="F54" s="332"/>
      <c r="G54" s="332"/>
      <c r="H54" s="332"/>
      <c r="I54" s="332"/>
      <c r="J54" s="336" t="s">
        <v>20</v>
      </c>
      <c r="K54" s="339"/>
      <c r="L54" s="339"/>
      <c r="M54" s="339"/>
      <c r="N54" s="339"/>
      <c r="O54" s="339"/>
      <c r="P54" s="339"/>
      <c r="Q54" s="339"/>
      <c r="R54" s="339"/>
      <c r="S54" s="360"/>
    </row>
    <row r="55" spans="1:22" s="291" customFormat="1" ht="14.25">
      <c r="A55" s="299"/>
      <c r="B55" s="299"/>
    </row>
    <row r="56" spans="1:22" ht="33" customHeight="1"/>
    <row r="57" spans="1:22" ht="33" customHeight="1">
      <c r="B57" s="239"/>
    </row>
    <row r="58" spans="1:22" ht="33" customHeight="1">
      <c r="B58" s="239"/>
    </row>
    <row r="59" spans="1:22" ht="33" customHeight="1">
      <c r="B59" s="239"/>
    </row>
    <row r="60" spans="1:22" ht="33" customHeight="1">
      <c r="B60" s="239"/>
    </row>
    <row r="61" spans="1:22" ht="33" customHeight="1">
      <c r="B61" s="239"/>
    </row>
    <row r="62" spans="1:22" ht="33" customHeight="1">
      <c r="B62" s="239"/>
    </row>
    <row r="63" spans="1:22" ht="33" customHeight="1">
      <c r="B63" s="239"/>
    </row>
    <row r="64" spans="1:22" s="219" customFormat="1" ht="33" customHeight="1">
      <c r="U64" s="239"/>
      <c r="V64" s="239"/>
    </row>
    <row r="65" spans="3:22" s="219" customFormat="1" ht="33" customHeight="1">
      <c r="U65" s="239"/>
      <c r="V65" s="239"/>
    </row>
    <row r="66" spans="3:22" s="219" customFormat="1" ht="33" customHeight="1">
      <c r="T66" s="239"/>
      <c r="U66" s="239"/>
      <c r="V66" s="239"/>
    </row>
    <row r="67" spans="3:22" s="219" customFormat="1" ht="33" customHeight="1">
      <c r="T67" s="239"/>
      <c r="U67" s="239"/>
      <c r="V67" s="239"/>
    </row>
    <row r="68" spans="3:22" s="219" customFormat="1" ht="33" customHeight="1">
      <c r="T68" s="239"/>
      <c r="U68" s="239"/>
      <c r="V68" s="239"/>
    </row>
    <row r="69" spans="3:22" s="219" customFormat="1" ht="33" customHeight="1">
      <c r="C69" s="239"/>
      <c r="D69" s="239"/>
      <c r="E69" s="239"/>
      <c r="F69" s="239"/>
      <c r="G69" s="239"/>
      <c r="H69" s="239"/>
      <c r="I69" s="239"/>
      <c r="J69" s="239"/>
      <c r="K69" s="239"/>
      <c r="L69" s="239"/>
      <c r="M69" s="239"/>
      <c r="N69" s="239"/>
      <c r="O69" s="239"/>
      <c r="P69" s="239"/>
      <c r="Q69" s="239"/>
      <c r="R69" s="239"/>
      <c r="S69" s="239"/>
      <c r="T69" s="239"/>
      <c r="U69" s="239"/>
      <c r="V69" s="239"/>
    </row>
  </sheetData>
  <mergeCells count="60">
    <mergeCell ref="A2:T2"/>
    <mergeCell ref="O3:R3"/>
    <mergeCell ref="L4:S4"/>
    <mergeCell ref="D6:Q6"/>
    <mergeCell ref="A31:C31"/>
    <mergeCell ref="C39:D39"/>
    <mergeCell ref="E39:I39"/>
    <mergeCell ref="J39:S39"/>
    <mergeCell ref="C40:D40"/>
    <mergeCell ref="E40:I40"/>
    <mergeCell ref="J40:S40"/>
    <mergeCell ref="C41:D41"/>
    <mergeCell ref="E41:I41"/>
    <mergeCell ref="J41:S41"/>
    <mergeCell ref="C42:D42"/>
    <mergeCell ref="E42:I42"/>
    <mergeCell ref="J42:S42"/>
    <mergeCell ref="C43:D43"/>
    <mergeCell ref="E43:I43"/>
    <mergeCell ref="J43:S43"/>
    <mergeCell ref="C44:D44"/>
    <mergeCell ref="E44:I44"/>
    <mergeCell ref="J44:S44"/>
    <mergeCell ref="C45:D45"/>
    <mergeCell ref="E45:I45"/>
    <mergeCell ref="J45:S45"/>
    <mergeCell ref="C46:D46"/>
    <mergeCell ref="E46:I46"/>
    <mergeCell ref="J46:S46"/>
    <mergeCell ref="C47:D47"/>
    <mergeCell ref="E47:I47"/>
    <mergeCell ref="J47:S47"/>
    <mergeCell ref="C48:D48"/>
    <mergeCell ref="E48:I48"/>
    <mergeCell ref="J48:S48"/>
    <mergeCell ref="C49:D49"/>
    <mergeCell ref="E49:I49"/>
    <mergeCell ref="J49:S49"/>
    <mergeCell ref="C50:D50"/>
    <mergeCell ref="E50:I50"/>
    <mergeCell ref="J50:S50"/>
    <mergeCell ref="C51:D51"/>
    <mergeCell ref="E51:I51"/>
    <mergeCell ref="J51:S51"/>
    <mergeCell ref="C52:D52"/>
    <mergeCell ref="E52:I52"/>
    <mergeCell ref="J52:S52"/>
    <mergeCell ref="C53:D53"/>
    <mergeCell ref="E53:I53"/>
    <mergeCell ref="J53:S53"/>
    <mergeCell ref="C54:D54"/>
    <mergeCell ref="E54:I54"/>
    <mergeCell ref="J54:S54"/>
    <mergeCell ref="A6:A7"/>
    <mergeCell ref="B6:B7"/>
    <mergeCell ref="C6:C7"/>
    <mergeCell ref="R6:R7"/>
    <mergeCell ref="S6:S7"/>
    <mergeCell ref="A34:S35"/>
    <mergeCell ref="B41:B54"/>
  </mergeCells>
  <phoneticPr fontId="7"/>
  <conditionalFormatting sqref="D9:R28 C29:Q29">
    <cfRule type="cellIs" dxfId="2" priority="1" stopIfTrue="1" operator="equal">
      <formula>0</formula>
    </cfRule>
  </conditionalFormatting>
  <printOptions horizontalCentered="1"/>
  <pageMargins left="0.19685039370078741" right="0.19685039370078741" top="0.62992125984251968" bottom="0.19685039370078741" header="0.31496062992125984" footer="0.15748031496062992"/>
  <pageSetup paperSize="9" scale="55" fitToWidth="1" fitToHeight="0" orientation="landscape" usePrinterDefaults="1" r:id="rId1"/>
  <headerFooter>
    <oddFooter>&amp;R&amp;A</oddFooter>
  </headerFooter>
  <rowBreaks count="1" manualBreakCount="1">
    <brk id="29" max="18"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N51"/>
  <sheetViews>
    <sheetView showGridLines="0" view="pageBreakPreview" zoomScale="115" zoomScaleSheetLayoutView="115" workbookViewId="0">
      <selection activeCell="J22" sqref="J22"/>
    </sheetView>
  </sheetViews>
  <sheetFormatPr defaultRowHeight="13.5"/>
  <cols>
    <col min="1" max="1" width="3.5" style="1" customWidth="1"/>
    <col min="2" max="2" width="9.75" style="1" customWidth="1"/>
    <col min="3" max="3" width="15.25" style="1" customWidth="1"/>
    <col min="4" max="4" width="12.625" style="1" customWidth="1"/>
    <col min="5" max="5" width="10.625" style="1" customWidth="1"/>
    <col min="6" max="6" width="12.5" style="1" customWidth="1"/>
    <col min="7" max="7" width="12.625" style="1" customWidth="1"/>
    <col min="8" max="10" width="12.125" style="1" customWidth="1"/>
    <col min="11" max="11" width="11.625" style="1" customWidth="1"/>
    <col min="12" max="12" width="12.625" style="1" customWidth="1"/>
    <col min="13" max="13" width="17.125" style="1" customWidth="1"/>
    <col min="14" max="16384" width="9" style="1" customWidth="1"/>
  </cols>
  <sheetData>
    <row r="1" spans="2:14" ht="27" customHeight="1">
      <c r="B1" s="367" t="s">
        <v>114</v>
      </c>
    </row>
    <row r="2" spans="2:14" ht="17.25">
      <c r="B2" s="368" t="s">
        <v>184</v>
      </c>
      <c r="C2" s="368"/>
      <c r="D2" s="368"/>
      <c r="E2" s="392"/>
      <c r="F2" s="400" t="str">
        <f>'2（収支報告書)'!A1</f>
        <v>協定No.</v>
      </c>
      <c r="G2" s="400"/>
      <c r="H2" s="411"/>
      <c r="I2" s="400" t="s">
        <v>327</v>
      </c>
      <c r="J2" s="416" t="str">
        <f>IF('2（収支報告書)'!E6="","",'2（収支報告書)'!E6)</f>
        <v/>
      </c>
      <c r="K2" s="416"/>
      <c r="L2" s="416"/>
      <c r="M2" s="428" t="s">
        <v>129</v>
      </c>
      <c r="N2" s="122"/>
    </row>
    <row r="3" spans="2:14" ht="6" customHeight="1">
      <c r="B3" s="61"/>
      <c r="C3" s="61"/>
      <c r="D3" s="61"/>
      <c r="E3" s="61"/>
      <c r="F3" s="61"/>
      <c r="G3" s="61"/>
      <c r="H3" s="61"/>
      <c r="I3" s="61"/>
      <c r="J3" s="61"/>
      <c r="K3" s="61"/>
      <c r="L3" s="61"/>
      <c r="M3" s="61"/>
    </row>
    <row r="4" spans="2:14">
      <c r="B4" s="369" t="s">
        <v>185</v>
      </c>
      <c r="C4" s="376"/>
      <c r="D4" s="385" t="s">
        <v>144</v>
      </c>
      <c r="E4" s="393"/>
      <c r="F4" s="401"/>
      <c r="G4" s="407" t="s">
        <v>31</v>
      </c>
      <c r="H4" s="393"/>
      <c r="I4" s="393"/>
      <c r="J4" s="393"/>
      <c r="K4" s="393"/>
      <c r="L4" s="393"/>
      <c r="M4" s="429"/>
    </row>
    <row r="5" spans="2:14">
      <c r="B5" s="370"/>
      <c r="C5" s="377" t="s">
        <v>91</v>
      </c>
      <c r="D5" s="386" t="s">
        <v>140</v>
      </c>
      <c r="E5" s="394" t="s">
        <v>99</v>
      </c>
      <c r="F5" s="402" t="s">
        <v>186</v>
      </c>
      <c r="G5" s="408" t="s">
        <v>187</v>
      </c>
      <c r="H5" s="412" t="s">
        <v>132</v>
      </c>
      <c r="I5" s="412" t="s">
        <v>188</v>
      </c>
      <c r="J5" s="417" t="s">
        <v>33</v>
      </c>
      <c r="K5" s="422" t="s">
        <v>60</v>
      </c>
      <c r="L5" s="422" t="s">
        <v>172</v>
      </c>
      <c r="M5" s="430" t="s">
        <v>189</v>
      </c>
    </row>
    <row r="6" spans="2:14">
      <c r="B6" s="370"/>
      <c r="C6" s="378"/>
      <c r="D6" s="387" t="s">
        <v>40</v>
      </c>
      <c r="E6" s="395" t="s">
        <v>3</v>
      </c>
      <c r="F6" s="403" t="s">
        <v>94</v>
      </c>
      <c r="G6" s="409" t="s">
        <v>101</v>
      </c>
      <c r="H6" s="395" t="s">
        <v>10</v>
      </c>
      <c r="I6" s="395" t="s">
        <v>191</v>
      </c>
      <c r="J6" s="418" t="s">
        <v>53</v>
      </c>
      <c r="K6" s="423" t="s">
        <v>192</v>
      </c>
      <c r="L6" s="423" t="s">
        <v>193</v>
      </c>
      <c r="M6" s="431"/>
    </row>
    <row r="7" spans="2:14" ht="14.25">
      <c r="B7" s="371"/>
      <c r="C7" s="379"/>
      <c r="D7" s="387"/>
      <c r="E7" s="395" t="s">
        <v>195</v>
      </c>
      <c r="F7" s="403" t="s">
        <v>196</v>
      </c>
      <c r="G7" s="409" t="s">
        <v>142</v>
      </c>
      <c r="H7" s="395" t="s">
        <v>197</v>
      </c>
      <c r="I7" s="395" t="s">
        <v>198</v>
      </c>
      <c r="J7" s="418" t="s">
        <v>199</v>
      </c>
      <c r="K7" s="423"/>
      <c r="L7" s="423" t="s">
        <v>200</v>
      </c>
      <c r="M7" s="432" t="s">
        <v>201</v>
      </c>
    </row>
    <row r="8" spans="2:14" ht="18.75" customHeight="1">
      <c r="B8" s="372" t="s">
        <v>163</v>
      </c>
      <c r="C8" s="380"/>
      <c r="D8" s="388" t="str">
        <f t="shared" ref="D8:M8" si="0">IF(SUM(D9:D45)=0,"",SUM(D9:D45))</f>
        <v/>
      </c>
      <c r="E8" s="396" t="str">
        <f t="shared" si="0"/>
        <v/>
      </c>
      <c r="F8" s="396" t="str">
        <f t="shared" si="0"/>
        <v/>
      </c>
      <c r="G8" s="396" t="str">
        <f t="shared" si="0"/>
        <v/>
      </c>
      <c r="H8" s="396" t="str">
        <f t="shared" si="0"/>
        <v/>
      </c>
      <c r="I8" s="396" t="str">
        <f t="shared" si="0"/>
        <v/>
      </c>
      <c r="J8" s="396" t="str">
        <f t="shared" si="0"/>
        <v/>
      </c>
      <c r="K8" s="396" t="str">
        <f t="shared" si="0"/>
        <v/>
      </c>
      <c r="L8" s="396" t="str">
        <f t="shared" si="0"/>
        <v/>
      </c>
      <c r="M8" s="396" t="str">
        <f t="shared" si="0"/>
        <v/>
      </c>
    </row>
    <row r="9" spans="2:14" ht="21" customHeight="1">
      <c r="B9" s="373" t="str">
        <f>IF('2（収支報告書)'!$A40="","",1)</f>
        <v/>
      </c>
      <c r="C9" s="381">
        <f>'2（収支報告書)'!$A40</f>
        <v>0</v>
      </c>
      <c r="D9" s="389" t="str">
        <f>'2（収支報告書)'!$E40</f>
        <v/>
      </c>
      <c r="E9" s="397" t="str">
        <f>'３(執行状況調書)'!$T8</f>
        <v/>
      </c>
      <c r="F9" s="404" t="str">
        <f t="shared" ref="F9:F45" si="1">IF(G9="","",SUM(D9:E9))</f>
        <v/>
      </c>
      <c r="G9" s="410" t="str">
        <f>'2（収支報告書)'!$F40</f>
        <v/>
      </c>
      <c r="H9" s="413"/>
      <c r="I9" s="413"/>
      <c r="J9" s="419" t="str">
        <f t="shared" ref="J9:J45" si="2">IF(G9="","",G9-(H9+I9))</f>
        <v/>
      </c>
      <c r="K9" s="424" t="str">
        <f>IF(B9="","",VLOOKUP(B9,'19-1（減価償却内訳）'!AA:AC,3))</f>
        <v/>
      </c>
      <c r="L9" s="427" t="str">
        <f t="shared" ref="L9:L45" si="3">IF(G9="","",SUM(J9:K9))</f>
        <v/>
      </c>
      <c r="M9" s="433" t="str">
        <f t="shared" ref="M9:M45" si="4">IF(G9="","",F9-L9)</f>
        <v/>
      </c>
    </row>
    <row r="10" spans="2:14" ht="21" customHeight="1">
      <c r="B10" s="373" t="str">
        <f>IF('2（収支報告書)'!$A41="","",$B9+1)</f>
        <v/>
      </c>
      <c r="C10" s="381">
        <f>'2（収支報告書)'!$A41</f>
        <v>0</v>
      </c>
      <c r="D10" s="389" t="str">
        <f>'2（収支報告書)'!$E41</f>
        <v/>
      </c>
      <c r="E10" s="398" t="str">
        <f>'３(執行状況調書)'!$T9</f>
        <v/>
      </c>
      <c r="F10" s="405" t="str">
        <f t="shared" si="1"/>
        <v/>
      </c>
      <c r="G10" s="398" t="str">
        <f>'2（収支報告書)'!$F41</f>
        <v/>
      </c>
      <c r="H10" s="414"/>
      <c r="I10" s="414"/>
      <c r="J10" s="420" t="str">
        <f t="shared" si="2"/>
        <v/>
      </c>
      <c r="K10" s="425" t="str">
        <f>IF(B10="","",VLOOKUP(B10,'19-1（減価償却内訳）'!AA:AC,3))</f>
        <v/>
      </c>
      <c r="L10" s="405" t="str">
        <f t="shared" si="3"/>
        <v/>
      </c>
      <c r="M10" s="434" t="str">
        <f t="shared" si="4"/>
        <v/>
      </c>
    </row>
    <row r="11" spans="2:14" ht="21" customHeight="1">
      <c r="B11" s="374" t="str">
        <f>IF('2（収支報告書)'!$A42="","",$B10+1)</f>
        <v/>
      </c>
      <c r="C11" s="382">
        <f>'2（収支報告書)'!$A42</f>
        <v>0</v>
      </c>
      <c r="D11" s="390" t="str">
        <f>'2（収支報告書)'!$E42</f>
        <v/>
      </c>
      <c r="E11" s="398" t="str">
        <f>'３(執行状況調書)'!$T10</f>
        <v/>
      </c>
      <c r="F11" s="405" t="str">
        <f t="shared" si="1"/>
        <v/>
      </c>
      <c r="G11" s="398" t="str">
        <f>'2（収支報告書)'!$F42</f>
        <v/>
      </c>
      <c r="H11" s="414"/>
      <c r="I11" s="414"/>
      <c r="J11" s="405" t="str">
        <f t="shared" si="2"/>
        <v/>
      </c>
      <c r="K11" s="425" t="str">
        <f>IF(B11="","",VLOOKUP(B11,'19-1（減価償却内訳）'!AA:AC,3))</f>
        <v/>
      </c>
      <c r="L11" s="405" t="str">
        <f t="shared" si="3"/>
        <v/>
      </c>
      <c r="M11" s="434" t="str">
        <f t="shared" si="4"/>
        <v/>
      </c>
    </row>
    <row r="12" spans="2:14" ht="21" customHeight="1">
      <c r="B12" s="374" t="str">
        <f>IF('2（収支報告書)'!$A43="","",$B11+1)</f>
        <v/>
      </c>
      <c r="C12" s="382">
        <f>'2（収支報告書)'!$A43</f>
        <v>0</v>
      </c>
      <c r="D12" s="390" t="str">
        <f>'2（収支報告書)'!$E43</f>
        <v/>
      </c>
      <c r="E12" s="398" t="str">
        <f>'３(執行状況調書)'!$T11</f>
        <v/>
      </c>
      <c r="F12" s="405" t="str">
        <f t="shared" si="1"/>
        <v/>
      </c>
      <c r="G12" s="398" t="str">
        <f>'2（収支報告書)'!$F43</f>
        <v/>
      </c>
      <c r="H12" s="414"/>
      <c r="I12" s="414"/>
      <c r="J12" s="405" t="str">
        <f t="shared" si="2"/>
        <v/>
      </c>
      <c r="K12" s="425" t="str">
        <f>IF(B12="","",VLOOKUP(B12,'19-1（減価償却内訳）'!AA:AC,3))</f>
        <v/>
      </c>
      <c r="L12" s="405" t="str">
        <f t="shared" si="3"/>
        <v/>
      </c>
      <c r="M12" s="434" t="str">
        <f t="shared" si="4"/>
        <v/>
      </c>
    </row>
    <row r="13" spans="2:14" ht="21" customHeight="1">
      <c r="B13" s="374" t="str">
        <f>IF('2（収支報告書)'!$A44="","",$B12+1)</f>
        <v/>
      </c>
      <c r="C13" s="382">
        <f>'2（収支報告書)'!$A44</f>
        <v>0</v>
      </c>
      <c r="D13" s="390" t="str">
        <f>'2（収支報告書)'!$E44</f>
        <v/>
      </c>
      <c r="E13" s="398" t="str">
        <f>'３(執行状況調書)'!$T12</f>
        <v/>
      </c>
      <c r="F13" s="405" t="str">
        <f t="shared" si="1"/>
        <v/>
      </c>
      <c r="G13" s="398" t="str">
        <f>'2（収支報告書)'!$F44</f>
        <v/>
      </c>
      <c r="H13" s="414"/>
      <c r="I13" s="414"/>
      <c r="J13" s="405" t="str">
        <f t="shared" si="2"/>
        <v/>
      </c>
      <c r="K13" s="425" t="str">
        <f>IF(B13="","",VLOOKUP(B13,'19-1（減価償却内訳）'!AA:AC,3))</f>
        <v/>
      </c>
      <c r="L13" s="405" t="str">
        <f t="shared" si="3"/>
        <v/>
      </c>
      <c r="M13" s="434" t="str">
        <f t="shared" si="4"/>
        <v/>
      </c>
    </row>
    <row r="14" spans="2:14" ht="21" customHeight="1">
      <c r="B14" s="374" t="str">
        <f>IF('2（収支報告書)'!$A45="","",$B13+1)</f>
        <v/>
      </c>
      <c r="C14" s="382">
        <f>'2（収支報告書)'!$A45</f>
        <v>0</v>
      </c>
      <c r="D14" s="390" t="str">
        <f>'2（収支報告書)'!$E45</f>
        <v/>
      </c>
      <c r="E14" s="398" t="str">
        <f>'３(執行状況調書)'!$T13</f>
        <v/>
      </c>
      <c r="F14" s="405" t="str">
        <f t="shared" si="1"/>
        <v/>
      </c>
      <c r="G14" s="398" t="str">
        <f>'2（収支報告書)'!$F45</f>
        <v/>
      </c>
      <c r="H14" s="414"/>
      <c r="I14" s="414"/>
      <c r="J14" s="405" t="str">
        <f t="shared" si="2"/>
        <v/>
      </c>
      <c r="K14" s="425" t="str">
        <f>IF(B14="","",VLOOKUP(B14,'19-1（減価償却内訳）'!AA:AC,3))</f>
        <v/>
      </c>
      <c r="L14" s="405" t="str">
        <f t="shared" si="3"/>
        <v/>
      </c>
      <c r="M14" s="434" t="str">
        <f t="shared" si="4"/>
        <v/>
      </c>
    </row>
    <row r="15" spans="2:14" ht="21" customHeight="1">
      <c r="B15" s="374" t="str">
        <f>IF('2（収支報告書)'!$A46="","",$B14+1)</f>
        <v/>
      </c>
      <c r="C15" s="382">
        <f>'2（収支報告書)'!$A46</f>
        <v>0</v>
      </c>
      <c r="D15" s="390" t="str">
        <f>'2（収支報告書)'!$E46</f>
        <v/>
      </c>
      <c r="E15" s="398" t="str">
        <f>'３(執行状況調書)'!$T14</f>
        <v/>
      </c>
      <c r="F15" s="405" t="str">
        <f t="shared" si="1"/>
        <v/>
      </c>
      <c r="G15" s="398" t="str">
        <f>'2（収支報告書)'!$F46</f>
        <v/>
      </c>
      <c r="H15" s="414"/>
      <c r="I15" s="414"/>
      <c r="J15" s="405" t="str">
        <f t="shared" si="2"/>
        <v/>
      </c>
      <c r="K15" s="425" t="str">
        <f>IF(B15="","",VLOOKUP(B15,'19-1（減価償却内訳）'!AA:AC,3))</f>
        <v/>
      </c>
      <c r="L15" s="405" t="str">
        <f t="shared" si="3"/>
        <v/>
      </c>
      <c r="M15" s="434" t="str">
        <f t="shared" si="4"/>
        <v/>
      </c>
    </row>
    <row r="16" spans="2:14" ht="21" customHeight="1">
      <c r="B16" s="374" t="str">
        <f>IF('2（収支報告書)'!$A47="","",$B15+1)</f>
        <v/>
      </c>
      <c r="C16" s="382">
        <f>'2（収支報告書)'!$A47</f>
        <v>0</v>
      </c>
      <c r="D16" s="390" t="str">
        <f>'2（収支報告書)'!$E47</f>
        <v/>
      </c>
      <c r="E16" s="398" t="str">
        <f>'３(執行状況調書)'!$T15</f>
        <v/>
      </c>
      <c r="F16" s="405" t="str">
        <f t="shared" si="1"/>
        <v/>
      </c>
      <c r="G16" s="398" t="str">
        <f>'2（収支報告書)'!$F47</f>
        <v/>
      </c>
      <c r="H16" s="414"/>
      <c r="I16" s="414"/>
      <c r="J16" s="405" t="str">
        <f t="shared" si="2"/>
        <v/>
      </c>
      <c r="K16" s="425" t="str">
        <f>IF(B16="","",VLOOKUP(B16,'19-1（減価償却内訳）'!AA:AC,3))</f>
        <v/>
      </c>
      <c r="L16" s="405" t="str">
        <f t="shared" si="3"/>
        <v/>
      </c>
      <c r="M16" s="434" t="str">
        <f t="shared" si="4"/>
        <v/>
      </c>
    </row>
    <row r="17" spans="2:13" ht="21" customHeight="1">
      <c r="B17" s="374" t="str">
        <f>IF('2（収支報告書)'!$A48="","",$B16+1)</f>
        <v/>
      </c>
      <c r="C17" s="382">
        <f>'2（収支報告書)'!$A48</f>
        <v>0</v>
      </c>
      <c r="D17" s="390" t="str">
        <f>'2（収支報告書)'!$E48</f>
        <v/>
      </c>
      <c r="E17" s="398" t="str">
        <f>'３(執行状況調書)'!$T16</f>
        <v/>
      </c>
      <c r="F17" s="405" t="str">
        <f t="shared" si="1"/>
        <v/>
      </c>
      <c r="G17" s="398" t="str">
        <f>'2（収支報告書)'!$F48</f>
        <v/>
      </c>
      <c r="H17" s="414"/>
      <c r="I17" s="414"/>
      <c r="J17" s="405" t="str">
        <f t="shared" si="2"/>
        <v/>
      </c>
      <c r="K17" s="425" t="str">
        <f>IF(B17="","",VLOOKUP(B17,'19-1（減価償却内訳）'!AA:AC,3))</f>
        <v/>
      </c>
      <c r="L17" s="405" t="str">
        <f t="shared" si="3"/>
        <v/>
      </c>
      <c r="M17" s="434" t="str">
        <f t="shared" si="4"/>
        <v/>
      </c>
    </row>
    <row r="18" spans="2:13" ht="21" customHeight="1">
      <c r="B18" s="374" t="str">
        <f>IF('2（収支報告書)'!$A49="","",$B17+1)</f>
        <v/>
      </c>
      <c r="C18" s="382">
        <f>'2（収支報告書)'!$A49</f>
        <v>0</v>
      </c>
      <c r="D18" s="390" t="str">
        <f>'2（収支報告書)'!$E49</f>
        <v/>
      </c>
      <c r="E18" s="398" t="str">
        <f>'３(執行状況調書)'!$T17</f>
        <v/>
      </c>
      <c r="F18" s="405" t="str">
        <f t="shared" si="1"/>
        <v/>
      </c>
      <c r="G18" s="398" t="str">
        <f>'2（収支報告書)'!$F49</f>
        <v/>
      </c>
      <c r="H18" s="414"/>
      <c r="I18" s="414"/>
      <c r="J18" s="405" t="str">
        <f t="shared" si="2"/>
        <v/>
      </c>
      <c r="K18" s="425" t="str">
        <f>IF(B18="","",VLOOKUP(B18,'19-1（減価償却内訳）'!AA:AC,3))</f>
        <v/>
      </c>
      <c r="L18" s="405" t="str">
        <f t="shared" si="3"/>
        <v/>
      </c>
      <c r="M18" s="434" t="str">
        <f t="shared" si="4"/>
        <v/>
      </c>
    </row>
    <row r="19" spans="2:13" ht="21" customHeight="1">
      <c r="B19" s="374" t="str">
        <f>IF('2（収支報告書)'!$A50="","",$B18+1)</f>
        <v/>
      </c>
      <c r="C19" s="382">
        <f>'2（収支報告書)'!$A50</f>
        <v>0</v>
      </c>
      <c r="D19" s="390" t="str">
        <f>'2（収支報告書)'!$E50</f>
        <v/>
      </c>
      <c r="E19" s="398" t="str">
        <f>'３(執行状況調書)'!$T18</f>
        <v/>
      </c>
      <c r="F19" s="405" t="str">
        <f t="shared" si="1"/>
        <v/>
      </c>
      <c r="G19" s="398" t="str">
        <f>'2（収支報告書)'!$F50</f>
        <v/>
      </c>
      <c r="H19" s="414"/>
      <c r="I19" s="414"/>
      <c r="J19" s="405" t="str">
        <f t="shared" si="2"/>
        <v/>
      </c>
      <c r="K19" s="425" t="str">
        <f>IF(B19="","",VLOOKUP(B19,'19-1（減価償却内訳）'!AA:AC,3))</f>
        <v/>
      </c>
      <c r="L19" s="405" t="str">
        <f t="shared" si="3"/>
        <v/>
      </c>
      <c r="M19" s="434" t="str">
        <f t="shared" si="4"/>
        <v/>
      </c>
    </row>
    <row r="20" spans="2:13" ht="21" customHeight="1">
      <c r="B20" s="374" t="str">
        <f>IF('2（収支報告書)'!$A51="","",$B19+1)</f>
        <v/>
      </c>
      <c r="C20" s="382">
        <f>'2（収支報告書)'!$A51</f>
        <v>0</v>
      </c>
      <c r="D20" s="390" t="str">
        <f>'2（収支報告書)'!$E51</f>
        <v/>
      </c>
      <c r="E20" s="398" t="str">
        <f>'３(執行状況調書)'!$T19</f>
        <v/>
      </c>
      <c r="F20" s="405" t="str">
        <f t="shared" si="1"/>
        <v/>
      </c>
      <c r="G20" s="398" t="str">
        <f>'2（収支報告書)'!$F51</f>
        <v/>
      </c>
      <c r="H20" s="414"/>
      <c r="I20" s="414"/>
      <c r="J20" s="405" t="str">
        <f t="shared" si="2"/>
        <v/>
      </c>
      <c r="K20" s="425" t="str">
        <f>IF(B20="","",VLOOKUP(B20,'19-1（減価償却内訳）'!AA:AC,3))</f>
        <v/>
      </c>
      <c r="L20" s="405" t="str">
        <f t="shared" si="3"/>
        <v/>
      </c>
      <c r="M20" s="434" t="str">
        <f t="shared" si="4"/>
        <v/>
      </c>
    </row>
    <row r="21" spans="2:13" ht="21" customHeight="1">
      <c r="B21" s="374" t="str">
        <f>IF('2（収支報告書)'!$A52="","",$B20+1)</f>
        <v/>
      </c>
      <c r="C21" s="382">
        <f>'2（収支報告書)'!$A52</f>
        <v>0</v>
      </c>
      <c r="D21" s="390" t="str">
        <f>'2（収支報告書)'!$E52</f>
        <v/>
      </c>
      <c r="E21" s="398" t="str">
        <f>'３(執行状況調書)'!$T20</f>
        <v/>
      </c>
      <c r="F21" s="405" t="str">
        <f t="shared" si="1"/>
        <v/>
      </c>
      <c r="G21" s="398" t="str">
        <f>'2（収支報告書)'!$F52</f>
        <v/>
      </c>
      <c r="H21" s="414"/>
      <c r="I21" s="414"/>
      <c r="J21" s="405" t="str">
        <f t="shared" si="2"/>
        <v/>
      </c>
      <c r="K21" s="425" t="str">
        <f>IF(B21="","",VLOOKUP(B21,'19-1（減価償却内訳）'!AA:AC,3))</f>
        <v/>
      </c>
      <c r="L21" s="405" t="str">
        <f t="shared" si="3"/>
        <v/>
      </c>
      <c r="M21" s="434" t="str">
        <f t="shared" si="4"/>
        <v/>
      </c>
    </row>
    <row r="22" spans="2:13" ht="21" customHeight="1">
      <c r="B22" s="374" t="str">
        <f>IF('2（収支報告書)'!$A53="","",$B21+1)</f>
        <v/>
      </c>
      <c r="C22" s="382">
        <f>'2（収支報告書)'!$A53</f>
        <v>0</v>
      </c>
      <c r="D22" s="390" t="str">
        <f>'2（収支報告書)'!$E53</f>
        <v/>
      </c>
      <c r="E22" s="398" t="str">
        <f>'３(執行状況調書)'!$T21</f>
        <v/>
      </c>
      <c r="F22" s="405" t="str">
        <f t="shared" si="1"/>
        <v/>
      </c>
      <c r="G22" s="398" t="str">
        <f>'2（収支報告書)'!$F53</f>
        <v/>
      </c>
      <c r="H22" s="414"/>
      <c r="I22" s="414"/>
      <c r="J22" s="405" t="str">
        <f t="shared" si="2"/>
        <v/>
      </c>
      <c r="K22" s="425" t="str">
        <f>IF(B22="","",VLOOKUP(B22,'19-1（減価償却内訳）'!AA:AC,3))</f>
        <v/>
      </c>
      <c r="L22" s="405" t="str">
        <f t="shared" si="3"/>
        <v/>
      </c>
      <c r="M22" s="434" t="str">
        <f t="shared" si="4"/>
        <v/>
      </c>
    </row>
    <row r="23" spans="2:13" ht="21" customHeight="1">
      <c r="B23" s="374" t="str">
        <f>IF('2（収支報告書)'!$A54="","",$B22+1)</f>
        <v/>
      </c>
      <c r="C23" s="382">
        <f>'2（収支報告書)'!$A54</f>
        <v>0</v>
      </c>
      <c r="D23" s="390" t="str">
        <f>'2（収支報告書)'!$E54</f>
        <v/>
      </c>
      <c r="E23" s="398" t="str">
        <f>'３(執行状況調書)'!$T22</f>
        <v/>
      </c>
      <c r="F23" s="405" t="str">
        <f t="shared" si="1"/>
        <v/>
      </c>
      <c r="G23" s="398" t="str">
        <f>'2（収支報告書)'!$F54</f>
        <v/>
      </c>
      <c r="H23" s="414"/>
      <c r="I23" s="414"/>
      <c r="J23" s="405" t="str">
        <f t="shared" si="2"/>
        <v/>
      </c>
      <c r="K23" s="425" t="str">
        <f>IF(B23="","",VLOOKUP(B23,'19-1（減価償却内訳）'!AA:AC,3))</f>
        <v/>
      </c>
      <c r="L23" s="405" t="str">
        <f t="shared" si="3"/>
        <v/>
      </c>
      <c r="M23" s="434" t="str">
        <f t="shared" si="4"/>
        <v/>
      </c>
    </row>
    <row r="24" spans="2:13" ht="21" customHeight="1">
      <c r="B24" s="374" t="str">
        <f>IF('2（収支報告書)'!$A55="","",$B23+1)</f>
        <v/>
      </c>
      <c r="C24" s="382">
        <f>'2（収支報告書)'!$A55</f>
        <v>0</v>
      </c>
      <c r="D24" s="390" t="str">
        <f>'2（収支報告書)'!$E55</f>
        <v/>
      </c>
      <c r="E24" s="398" t="str">
        <f>'３(執行状況調書)'!$T23</f>
        <v/>
      </c>
      <c r="F24" s="405" t="str">
        <f t="shared" si="1"/>
        <v/>
      </c>
      <c r="G24" s="398" t="str">
        <f>'2（収支報告書)'!$F55</f>
        <v/>
      </c>
      <c r="H24" s="414"/>
      <c r="I24" s="414"/>
      <c r="J24" s="405" t="str">
        <f t="shared" si="2"/>
        <v/>
      </c>
      <c r="K24" s="425" t="str">
        <f>IF(B24="","",VLOOKUP(B24,'19-1（減価償却内訳）'!AA:AC,3))</f>
        <v/>
      </c>
      <c r="L24" s="405" t="str">
        <f t="shared" si="3"/>
        <v/>
      </c>
      <c r="M24" s="434" t="str">
        <f t="shared" si="4"/>
        <v/>
      </c>
    </row>
    <row r="25" spans="2:13" ht="21" customHeight="1">
      <c r="B25" s="374" t="str">
        <f>IF('2（収支報告書)'!$A56="","",$B24+1)</f>
        <v/>
      </c>
      <c r="C25" s="382">
        <f>'2（収支報告書)'!$A56</f>
        <v>0</v>
      </c>
      <c r="D25" s="390" t="str">
        <f>'2（収支報告書)'!$E56</f>
        <v/>
      </c>
      <c r="E25" s="398" t="str">
        <f>'３(執行状況調書)'!$T24</f>
        <v/>
      </c>
      <c r="F25" s="405" t="str">
        <f t="shared" si="1"/>
        <v/>
      </c>
      <c r="G25" s="398" t="str">
        <f>'2（収支報告書)'!$F56</f>
        <v/>
      </c>
      <c r="H25" s="414"/>
      <c r="I25" s="414"/>
      <c r="J25" s="405" t="str">
        <f t="shared" si="2"/>
        <v/>
      </c>
      <c r="K25" s="425" t="str">
        <f>IF(B25="","",VLOOKUP(B25,'19-1（減価償却内訳）'!AA:AC,3))</f>
        <v/>
      </c>
      <c r="L25" s="405" t="str">
        <f t="shared" si="3"/>
        <v/>
      </c>
      <c r="M25" s="434" t="str">
        <f t="shared" si="4"/>
        <v/>
      </c>
    </row>
    <row r="26" spans="2:13" ht="21" customHeight="1">
      <c r="B26" s="374" t="str">
        <f>IF('2（収支報告書)'!$A57="","",$B25+1)</f>
        <v/>
      </c>
      <c r="C26" s="382">
        <f>'2（収支報告書)'!$A57</f>
        <v>0</v>
      </c>
      <c r="D26" s="390" t="str">
        <f>'2（収支報告書)'!$E57</f>
        <v/>
      </c>
      <c r="E26" s="398" t="str">
        <f>'３(執行状況調書)'!$T25</f>
        <v/>
      </c>
      <c r="F26" s="405" t="str">
        <f t="shared" si="1"/>
        <v/>
      </c>
      <c r="G26" s="398" t="str">
        <f>'2（収支報告書)'!$F57</f>
        <v/>
      </c>
      <c r="H26" s="414"/>
      <c r="I26" s="414"/>
      <c r="J26" s="405" t="str">
        <f t="shared" si="2"/>
        <v/>
      </c>
      <c r="K26" s="425" t="str">
        <f>IF(B26="","",VLOOKUP(B26,'19-1（減価償却内訳）'!AA:AC,3))</f>
        <v/>
      </c>
      <c r="L26" s="405" t="str">
        <f t="shared" si="3"/>
        <v/>
      </c>
      <c r="M26" s="434" t="str">
        <f t="shared" si="4"/>
        <v/>
      </c>
    </row>
    <row r="27" spans="2:13" ht="21" customHeight="1">
      <c r="B27" s="374" t="str">
        <f>IF('2（収支報告書)'!$A58="","",$B26+1)</f>
        <v/>
      </c>
      <c r="C27" s="382">
        <f>'2（収支報告書)'!$A58</f>
        <v>0</v>
      </c>
      <c r="D27" s="390" t="str">
        <f>'2（収支報告書)'!$E58</f>
        <v/>
      </c>
      <c r="E27" s="398" t="str">
        <f>'３(執行状況調書)'!$T26</f>
        <v/>
      </c>
      <c r="F27" s="405" t="str">
        <f t="shared" si="1"/>
        <v/>
      </c>
      <c r="G27" s="398" t="str">
        <f>'2（収支報告書)'!$F58</f>
        <v/>
      </c>
      <c r="H27" s="414"/>
      <c r="I27" s="414"/>
      <c r="J27" s="405" t="str">
        <f t="shared" si="2"/>
        <v/>
      </c>
      <c r="K27" s="425" t="str">
        <f>IF(B27="","",VLOOKUP(B27,'19-1（減価償却内訳）'!AA:AC,3))</f>
        <v/>
      </c>
      <c r="L27" s="405" t="str">
        <f t="shared" si="3"/>
        <v/>
      </c>
      <c r="M27" s="434" t="str">
        <f t="shared" si="4"/>
        <v/>
      </c>
    </row>
    <row r="28" spans="2:13" ht="21" customHeight="1">
      <c r="B28" s="374" t="str">
        <f>IF('2（収支報告書)'!$A59="","",$B27+1)</f>
        <v/>
      </c>
      <c r="C28" s="382">
        <f>'2（収支報告書)'!$A59</f>
        <v>0</v>
      </c>
      <c r="D28" s="390" t="str">
        <f>'2（収支報告書)'!$E59</f>
        <v/>
      </c>
      <c r="E28" s="398" t="str">
        <f>'３(執行状況調書)'!$T27</f>
        <v/>
      </c>
      <c r="F28" s="405" t="str">
        <f t="shared" si="1"/>
        <v/>
      </c>
      <c r="G28" s="398" t="str">
        <f>'2（収支報告書)'!$F59</f>
        <v/>
      </c>
      <c r="H28" s="414"/>
      <c r="I28" s="414"/>
      <c r="J28" s="405" t="str">
        <f t="shared" si="2"/>
        <v/>
      </c>
      <c r="K28" s="425" t="str">
        <f>IF(B28="","",VLOOKUP(B28,'19-1（減価償却内訳）'!AA:AC,3))</f>
        <v/>
      </c>
      <c r="L28" s="405" t="str">
        <f t="shared" si="3"/>
        <v/>
      </c>
      <c r="M28" s="434" t="str">
        <f t="shared" si="4"/>
        <v/>
      </c>
    </row>
    <row r="29" spans="2:13" ht="21" customHeight="1">
      <c r="B29" s="374" t="str">
        <f>IF('2（収支報告書)'!$A60="","",$B28+1)</f>
        <v/>
      </c>
      <c r="C29" s="382">
        <f>'2（収支報告書)'!$A60</f>
        <v>0</v>
      </c>
      <c r="D29" s="390" t="str">
        <f>'2（収支報告書)'!$E60</f>
        <v/>
      </c>
      <c r="E29" s="398" t="str">
        <f>'３(執行状況調書)'!$T28</f>
        <v/>
      </c>
      <c r="F29" s="405" t="str">
        <f t="shared" si="1"/>
        <v/>
      </c>
      <c r="G29" s="398" t="str">
        <f>'2（収支報告書)'!$F60</f>
        <v/>
      </c>
      <c r="H29" s="414"/>
      <c r="I29" s="414"/>
      <c r="J29" s="405" t="str">
        <f t="shared" si="2"/>
        <v/>
      </c>
      <c r="K29" s="425" t="str">
        <f>IF(B29="","",VLOOKUP(B29,'19-1（減価償却内訳）'!AA:AC,3))</f>
        <v/>
      </c>
      <c r="L29" s="405" t="str">
        <f t="shared" si="3"/>
        <v/>
      </c>
      <c r="M29" s="434" t="str">
        <f t="shared" si="4"/>
        <v/>
      </c>
    </row>
    <row r="30" spans="2:13" ht="21" customHeight="1">
      <c r="B30" s="374" t="str">
        <f>IF('2（収支報告書)'!$A61="","",$B29+1)</f>
        <v/>
      </c>
      <c r="C30" s="382">
        <f>'2（収支報告書)'!$A61</f>
        <v>0</v>
      </c>
      <c r="D30" s="390" t="str">
        <f>'2（収支報告書)'!$E61</f>
        <v/>
      </c>
      <c r="E30" s="398" t="str">
        <f>'３(執行状況調書)'!$T29</f>
        <v/>
      </c>
      <c r="F30" s="405" t="str">
        <f t="shared" si="1"/>
        <v/>
      </c>
      <c r="G30" s="398" t="str">
        <f>'2（収支報告書)'!$F61</f>
        <v/>
      </c>
      <c r="H30" s="414"/>
      <c r="I30" s="414"/>
      <c r="J30" s="405" t="str">
        <f t="shared" si="2"/>
        <v/>
      </c>
      <c r="K30" s="425" t="str">
        <f>IF(B30="","",VLOOKUP(B30,'19-1（減価償却内訳）'!AA:AC,3))</f>
        <v/>
      </c>
      <c r="L30" s="405" t="str">
        <f t="shared" si="3"/>
        <v/>
      </c>
      <c r="M30" s="434" t="str">
        <f t="shared" si="4"/>
        <v/>
      </c>
    </row>
    <row r="31" spans="2:13" ht="21" customHeight="1">
      <c r="B31" s="374" t="str">
        <f>IF('2（収支報告書)'!$A62="","",$B30+1)</f>
        <v/>
      </c>
      <c r="C31" s="382">
        <f>'2（収支報告書)'!$A62</f>
        <v>0</v>
      </c>
      <c r="D31" s="390" t="str">
        <f>'2（収支報告書)'!$E62</f>
        <v/>
      </c>
      <c r="E31" s="398" t="str">
        <f>'３(執行状況調書)'!$T30</f>
        <v/>
      </c>
      <c r="F31" s="405" t="str">
        <f t="shared" si="1"/>
        <v/>
      </c>
      <c r="G31" s="398" t="str">
        <f>'2（収支報告書)'!$F62</f>
        <v/>
      </c>
      <c r="H31" s="414"/>
      <c r="I31" s="414"/>
      <c r="J31" s="405" t="str">
        <f t="shared" si="2"/>
        <v/>
      </c>
      <c r="K31" s="425" t="str">
        <f>IF(B31="","",VLOOKUP(B31,'19-1（減価償却内訳）'!AA:AC,3))</f>
        <v/>
      </c>
      <c r="L31" s="405" t="str">
        <f t="shared" si="3"/>
        <v/>
      </c>
      <c r="M31" s="434" t="str">
        <f t="shared" si="4"/>
        <v/>
      </c>
    </row>
    <row r="32" spans="2:13" ht="21" customHeight="1">
      <c r="B32" s="374" t="str">
        <f>IF('2（収支報告書)'!$A63="","",$B31+1)</f>
        <v/>
      </c>
      <c r="C32" s="382">
        <f>'2（収支報告書)'!$A63</f>
        <v>0</v>
      </c>
      <c r="D32" s="390" t="str">
        <f>'2（収支報告書)'!$E63</f>
        <v/>
      </c>
      <c r="E32" s="398" t="str">
        <f>'３(執行状況調書)'!$T31</f>
        <v/>
      </c>
      <c r="F32" s="405" t="str">
        <f t="shared" si="1"/>
        <v/>
      </c>
      <c r="G32" s="398" t="str">
        <f>'2（収支報告書)'!$F63</f>
        <v/>
      </c>
      <c r="H32" s="414"/>
      <c r="I32" s="414"/>
      <c r="J32" s="405" t="str">
        <f t="shared" si="2"/>
        <v/>
      </c>
      <c r="K32" s="425" t="str">
        <f>IF(B32="","",VLOOKUP(B32,#REF!,3))</f>
        <v/>
      </c>
      <c r="L32" s="405" t="str">
        <f t="shared" si="3"/>
        <v/>
      </c>
      <c r="M32" s="434" t="str">
        <f t="shared" si="4"/>
        <v/>
      </c>
    </row>
    <row r="33" spans="1:13" ht="21" customHeight="1">
      <c r="B33" s="374" t="str">
        <f>IF('2（収支報告書)'!$A64="","",$B32+1)</f>
        <v/>
      </c>
      <c r="C33" s="382">
        <f>'2（収支報告書)'!$A64</f>
        <v>0</v>
      </c>
      <c r="D33" s="390" t="str">
        <f>'2（収支報告書)'!$E64</f>
        <v/>
      </c>
      <c r="E33" s="398" t="str">
        <f>'３(執行状況調書)'!$T32</f>
        <v/>
      </c>
      <c r="F33" s="405" t="str">
        <f t="shared" si="1"/>
        <v/>
      </c>
      <c r="G33" s="398" t="str">
        <f>'2（収支報告書)'!$F64</f>
        <v/>
      </c>
      <c r="H33" s="414"/>
      <c r="I33" s="414"/>
      <c r="J33" s="405" t="str">
        <f t="shared" si="2"/>
        <v/>
      </c>
      <c r="K33" s="425" t="str">
        <f>IF(B33="","",VLOOKUP(B33,#REF!,3))</f>
        <v/>
      </c>
      <c r="L33" s="405" t="str">
        <f t="shared" si="3"/>
        <v/>
      </c>
      <c r="M33" s="434" t="str">
        <f t="shared" si="4"/>
        <v/>
      </c>
    </row>
    <row r="34" spans="1:13" ht="21" customHeight="1">
      <c r="B34" s="374" t="str">
        <f>IF('2（収支報告書)'!$A65="","",$B33+1)</f>
        <v/>
      </c>
      <c r="C34" s="382">
        <f>'2（収支報告書)'!$A65</f>
        <v>0</v>
      </c>
      <c r="D34" s="390" t="str">
        <f>'2（収支報告書)'!$E65</f>
        <v/>
      </c>
      <c r="E34" s="398" t="str">
        <f>'３(執行状況調書)'!$T33</f>
        <v/>
      </c>
      <c r="F34" s="405" t="str">
        <f t="shared" si="1"/>
        <v/>
      </c>
      <c r="G34" s="398" t="str">
        <f>'2（収支報告書)'!$F65</f>
        <v/>
      </c>
      <c r="H34" s="414"/>
      <c r="I34" s="414"/>
      <c r="J34" s="405" t="str">
        <f t="shared" si="2"/>
        <v/>
      </c>
      <c r="K34" s="425" t="str">
        <f>IF(B34="","",VLOOKUP(B34,#REF!,3))</f>
        <v/>
      </c>
      <c r="L34" s="405" t="str">
        <f t="shared" si="3"/>
        <v/>
      </c>
      <c r="M34" s="434" t="str">
        <f t="shared" si="4"/>
        <v/>
      </c>
    </row>
    <row r="35" spans="1:13" ht="21" customHeight="1">
      <c r="B35" s="374" t="str">
        <f>IF('2（収支報告書)'!$A66="","",$B34+1)</f>
        <v/>
      </c>
      <c r="C35" s="382">
        <f>'2（収支報告書)'!$A66</f>
        <v>0</v>
      </c>
      <c r="D35" s="390" t="str">
        <f>'2（収支報告書)'!$E66</f>
        <v/>
      </c>
      <c r="E35" s="398" t="str">
        <f>'３(執行状況調書)'!$T34</f>
        <v/>
      </c>
      <c r="F35" s="405" t="str">
        <f t="shared" si="1"/>
        <v/>
      </c>
      <c r="G35" s="398" t="str">
        <f>'2（収支報告書)'!$F66</f>
        <v/>
      </c>
      <c r="H35" s="414"/>
      <c r="I35" s="414"/>
      <c r="J35" s="405" t="str">
        <f t="shared" si="2"/>
        <v/>
      </c>
      <c r="K35" s="425" t="str">
        <f>IF(B35="","",VLOOKUP(B35,#REF!,3))</f>
        <v/>
      </c>
      <c r="L35" s="405" t="str">
        <f t="shared" si="3"/>
        <v/>
      </c>
      <c r="M35" s="434" t="str">
        <f t="shared" si="4"/>
        <v/>
      </c>
    </row>
    <row r="36" spans="1:13" ht="21" customHeight="1">
      <c r="B36" s="374" t="str">
        <f>IF('2（収支報告書)'!$A67="","",$B35+1)</f>
        <v/>
      </c>
      <c r="C36" s="382">
        <f>'2（収支報告書)'!$A67</f>
        <v>0</v>
      </c>
      <c r="D36" s="390" t="str">
        <f>'2（収支報告書)'!$E67</f>
        <v/>
      </c>
      <c r="E36" s="398" t="str">
        <f>'３(執行状況調書)'!$T35</f>
        <v/>
      </c>
      <c r="F36" s="405" t="str">
        <f t="shared" si="1"/>
        <v/>
      </c>
      <c r="G36" s="398" t="str">
        <f>'2（収支報告書)'!$F67</f>
        <v/>
      </c>
      <c r="H36" s="414"/>
      <c r="I36" s="414"/>
      <c r="J36" s="405" t="str">
        <f t="shared" si="2"/>
        <v/>
      </c>
      <c r="K36" s="425" t="str">
        <f>IF(B36="","",VLOOKUP(B36,#REF!,3))</f>
        <v/>
      </c>
      <c r="L36" s="405" t="str">
        <f t="shared" si="3"/>
        <v/>
      </c>
      <c r="M36" s="434" t="str">
        <f t="shared" si="4"/>
        <v/>
      </c>
    </row>
    <row r="37" spans="1:13" ht="21" customHeight="1">
      <c r="B37" s="374" t="str">
        <f>IF('2（収支報告書)'!$A68="","",$B36+1)</f>
        <v/>
      </c>
      <c r="C37" s="382">
        <f>'2（収支報告書)'!$A68</f>
        <v>0</v>
      </c>
      <c r="D37" s="390" t="str">
        <f>'2（収支報告書)'!$E68</f>
        <v/>
      </c>
      <c r="E37" s="398" t="str">
        <f>'３(執行状況調書)'!$T36</f>
        <v/>
      </c>
      <c r="F37" s="405" t="str">
        <f t="shared" si="1"/>
        <v/>
      </c>
      <c r="G37" s="398" t="str">
        <f>'2（収支報告書)'!$F68</f>
        <v/>
      </c>
      <c r="H37" s="414"/>
      <c r="I37" s="414"/>
      <c r="J37" s="405" t="str">
        <f t="shared" si="2"/>
        <v/>
      </c>
      <c r="K37" s="425" t="str">
        <f>IF(B37="","",VLOOKUP(B37,#REF!,3))</f>
        <v/>
      </c>
      <c r="L37" s="405" t="str">
        <f t="shared" si="3"/>
        <v/>
      </c>
      <c r="M37" s="434" t="str">
        <f t="shared" si="4"/>
        <v/>
      </c>
    </row>
    <row r="38" spans="1:13" ht="21" customHeight="1">
      <c r="B38" s="374" t="str">
        <f>IF('2（収支報告書)'!$A69="","",$B37+1)</f>
        <v/>
      </c>
      <c r="C38" s="382">
        <f>'2（収支報告書)'!$A69</f>
        <v>0</v>
      </c>
      <c r="D38" s="390" t="str">
        <f>'2（収支報告書)'!$E69</f>
        <v/>
      </c>
      <c r="E38" s="398" t="str">
        <f>'３(執行状況調書)'!$T37</f>
        <v/>
      </c>
      <c r="F38" s="405" t="str">
        <f t="shared" si="1"/>
        <v/>
      </c>
      <c r="G38" s="398" t="str">
        <f>'2（収支報告書)'!$F69</f>
        <v/>
      </c>
      <c r="H38" s="414"/>
      <c r="I38" s="414"/>
      <c r="J38" s="405" t="str">
        <f t="shared" si="2"/>
        <v/>
      </c>
      <c r="K38" s="425" t="str">
        <f>IF(B38="","",VLOOKUP(B38,#REF!,3))</f>
        <v/>
      </c>
      <c r="L38" s="405" t="str">
        <f t="shared" si="3"/>
        <v/>
      </c>
      <c r="M38" s="434" t="str">
        <f t="shared" si="4"/>
        <v/>
      </c>
    </row>
    <row r="39" spans="1:13" ht="21" customHeight="1">
      <c r="B39" s="374" t="str">
        <f>IF('2（収支報告書)'!$A70="","",$B38+1)</f>
        <v/>
      </c>
      <c r="C39" s="382">
        <f>'2（収支報告書)'!$A70</f>
        <v>0</v>
      </c>
      <c r="D39" s="390" t="str">
        <f>'2（収支報告書)'!$E70</f>
        <v/>
      </c>
      <c r="E39" s="398" t="str">
        <f>'３(執行状況調書)'!$T38</f>
        <v/>
      </c>
      <c r="F39" s="405" t="str">
        <f t="shared" si="1"/>
        <v/>
      </c>
      <c r="G39" s="398" t="str">
        <f>'2（収支報告書)'!$F70</f>
        <v/>
      </c>
      <c r="H39" s="414"/>
      <c r="I39" s="414"/>
      <c r="J39" s="405" t="str">
        <f t="shared" si="2"/>
        <v/>
      </c>
      <c r="K39" s="425" t="str">
        <f>IF(B39="","",VLOOKUP(B39,#REF!,3))</f>
        <v/>
      </c>
      <c r="L39" s="405" t="str">
        <f t="shared" si="3"/>
        <v/>
      </c>
      <c r="M39" s="434" t="str">
        <f t="shared" si="4"/>
        <v/>
      </c>
    </row>
    <row r="40" spans="1:13" ht="21" customHeight="1">
      <c r="B40" s="374" t="str">
        <f>IF('2（収支報告書)'!$A71="","",$B39+1)</f>
        <v/>
      </c>
      <c r="C40" s="382">
        <f>'2（収支報告書)'!$A71</f>
        <v>0</v>
      </c>
      <c r="D40" s="390" t="str">
        <f>'2（収支報告書)'!$E71</f>
        <v/>
      </c>
      <c r="E40" s="398" t="str">
        <f>'３(執行状況調書)'!$T39</f>
        <v/>
      </c>
      <c r="F40" s="405" t="str">
        <f t="shared" si="1"/>
        <v/>
      </c>
      <c r="G40" s="398" t="str">
        <f>'2（収支報告書)'!$F71</f>
        <v/>
      </c>
      <c r="H40" s="414"/>
      <c r="I40" s="414"/>
      <c r="J40" s="405" t="str">
        <f t="shared" si="2"/>
        <v/>
      </c>
      <c r="K40" s="425" t="str">
        <f>IF(B40="","",VLOOKUP(B40,#REF!,3))</f>
        <v/>
      </c>
      <c r="L40" s="405" t="str">
        <f t="shared" si="3"/>
        <v/>
      </c>
      <c r="M40" s="434" t="str">
        <f t="shared" si="4"/>
        <v/>
      </c>
    </row>
    <row r="41" spans="1:13" ht="21" customHeight="1">
      <c r="B41" s="374" t="str">
        <f>IF('2（収支報告書)'!$A72="","",$B40+1)</f>
        <v/>
      </c>
      <c r="C41" s="382">
        <f>'2（収支報告書)'!$A72</f>
        <v>0</v>
      </c>
      <c r="D41" s="390" t="str">
        <f>'2（収支報告書)'!$E72</f>
        <v/>
      </c>
      <c r="E41" s="398" t="str">
        <f>'３(執行状況調書)'!$T40</f>
        <v/>
      </c>
      <c r="F41" s="405" t="str">
        <f t="shared" si="1"/>
        <v/>
      </c>
      <c r="G41" s="398" t="str">
        <f>'2（収支報告書)'!$F72</f>
        <v/>
      </c>
      <c r="H41" s="414"/>
      <c r="I41" s="414"/>
      <c r="J41" s="405" t="str">
        <f t="shared" si="2"/>
        <v/>
      </c>
      <c r="K41" s="425" t="str">
        <f>IF(B41="","",VLOOKUP(B41,#REF!,3))</f>
        <v/>
      </c>
      <c r="L41" s="405" t="str">
        <f t="shared" si="3"/>
        <v/>
      </c>
      <c r="M41" s="434" t="str">
        <f t="shared" si="4"/>
        <v/>
      </c>
    </row>
    <row r="42" spans="1:13" ht="21" customHeight="1">
      <c r="B42" s="374" t="str">
        <f>IF('2（収支報告書)'!$A73="","",$B41+1)</f>
        <v/>
      </c>
      <c r="C42" s="382">
        <f>'2（収支報告書)'!$A73</f>
        <v>0</v>
      </c>
      <c r="D42" s="390" t="str">
        <f>'2（収支報告書)'!$E73</f>
        <v/>
      </c>
      <c r="E42" s="398" t="str">
        <f>'３(執行状況調書)'!$T41</f>
        <v/>
      </c>
      <c r="F42" s="405" t="str">
        <f t="shared" si="1"/>
        <v/>
      </c>
      <c r="G42" s="398" t="str">
        <f>'2（収支報告書)'!$F73</f>
        <v/>
      </c>
      <c r="H42" s="414"/>
      <c r="I42" s="414"/>
      <c r="J42" s="405" t="str">
        <f t="shared" si="2"/>
        <v/>
      </c>
      <c r="K42" s="425" t="str">
        <f>IF(B42="","",VLOOKUP(B42,#REF!,3))</f>
        <v/>
      </c>
      <c r="L42" s="405" t="str">
        <f t="shared" si="3"/>
        <v/>
      </c>
      <c r="M42" s="434" t="str">
        <f t="shared" si="4"/>
        <v/>
      </c>
    </row>
    <row r="43" spans="1:13" ht="21" customHeight="1">
      <c r="B43" s="374" t="str">
        <f>IF('2（収支報告書)'!$A74="","",$B42+1)</f>
        <v/>
      </c>
      <c r="C43" s="382">
        <f>'2（収支報告書)'!$A74</f>
        <v>0</v>
      </c>
      <c r="D43" s="390" t="str">
        <f>'2（収支報告書)'!$E74</f>
        <v/>
      </c>
      <c r="E43" s="398" t="str">
        <f>'３(執行状況調書)'!$T42</f>
        <v/>
      </c>
      <c r="F43" s="405" t="str">
        <f t="shared" si="1"/>
        <v/>
      </c>
      <c r="G43" s="398" t="str">
        <f>'2（収支報告書)'!$F74</f>
        <v/>
      </c>
      <c r="H43" s="414"/>
      <c r="I43" s="414"/>
      <c r="J43" s="405" t="str">
        <f t="shared" si="2"/>
        <v/>
      </c>
      <c r="K43" s="425" t="str">
        <f>IF(B43="","",VLOOKUP(B43,#REF!,3))</f>
        <v/>
      </c>
      <c r="L43" s="405" t="str">
        <f t="shared" si="3"/>
        <v/>
      </c>
      <c r="M43" s="434" t="str">
        <f t="shared" si="4"/>
        <v/>
      </c>
    </row>
    <row r="44" spans="1:13" ht="21" customHeight="1">
      <c r="B44" s="374" t="str">
        <f>IF('2（収支報告書)'!$A75="","",$B43+1)</f>
        <v/>
      </c>
      <c r="C44" s="382">
        <f>'2（収支報告書)'!$A75</f>
        <v>0</v>
      </c>
      <c r="D44" s="390" t="str">
        <f>'2（収支報告書)'!$E75</f>
        <v/>
      </c>
      <c r="E44" s="398" t="str">
        <f>'３(執行状況調書)'!$T43</f>
        <v/>
      </c>
      <c r="F44" s="405" t="str">
        <f t="shared" si="1"/>
        <v/>
      </c>
      <c r="G44" s="398" t="str">
        <f>'2（収支報告書)'!$F75</f>
        <v/>
      </c>
      <c r="H44" s="414"/>
      <c r="I44" s="414"/>
      <c r="J44" s="405" t="str">
        <f t="shared" si="2"/>
        <v/>
      </c>
      <c r="K44" s="425" t="str">
        <f>IF(B44="","",VLOOKUP(B44,#REF!,3))</f>
        <v/>
      </c>
      <c r="L44" s="405" t="str">
        <f t="shared" si="3"/>
        <v/>
      </c>
      <c r="M44" s="434" t="str">
        <f t="shared" si="4"/>
        <v/>
      </c>
    </row>
    <row r="45" spans="1:13" ht="21" customHeight="1">
      <c r="B45" s="375" t="str">
        <f>IF('2（収支報告書)'!$A76="","",$B44+1)</f>
        <v/>
      </c>
      <c r="C45" s="383">
        <f>'2（収支報告書)'!$A76</f>
        <v>0</v>
      </c>
      <c r="D45" s="391" t="str">
        <f>'2（収支報告書)'!$E76</f>
        <v/>
      </c>
      <c r="E45" s="399" t="str">
        <f>'３(執行状況調書)'!$T44</f>
        <v/>
      </c>
      <c r="F45" s="406" t="str">
        <f t="shared" si="1"/>
        <v/>
      </c>
      <c r="G45" s="399" t="str">
        <f>'2（収支報告書)'!$F76</f>
        <v/>
      </c>
      <c r="H45" s="415"/>
      <c r="I45" s="415"/>
      <c r="J45" s="421" t="str">
        <f t="shared" si="2"/>
        <v/>
      </c>
      <c r="K45" s="426" t="str">
        <f>IF(B45="","",VLOOKUP(B45,#REF!,3))</f>
        <v/>
      </c>
      <c r="L45" s="406" t="str">
        <f t="shared" si="3"/>
        <v/>
      </c>
      <c r="M45" s="435" t="str">
        <f t="shared" si="4"/>
        <v/>
      </c>
    </row>
    <row r="46" spans="1:13" ht="7.5" customHeight="1">
      <c r="A46" s="366"/>
      <c r="B46" s="366"/>
      <c r="D46" s="366"/>
      <c r="E46" s="366"/>
      <c r="F46" s="366"/>
      <c r="G46" s="366"/>
      <c r="H46" s="366"/>
      <c r="I46" s="366"/>
      <c r="J46" s="366"/>
      <c r="K46" s="366"/>
      <c r="L46" s="366"/>
      <c r="M46" s="366"/>
    </row>
    <row r="47" spans="1:13" ht="12.75" customHeight="1">
      <c r="A47" s="366"/>
      <c r="B47" s="366"/>
      <c r="C47" s="384" t="s">
        <v>206</v>
      </c>
      <c r="D47" s="384"/>
      <c r="E47" s="384"/>
      <c r="F47" s="384"/>
      <c r="G47" s="384"/>
      <c r="H47" s="384"/>
      <c r="I47" s="384"/>
      <c r="J47" s="366"/>
      <c r="K47" s="366"/>
      <c r="L47" s="366"/>
      <c r="M47" s="366"/>
    </row>
    <row r="48" spans="1:13" ht="12.75" customHeight="1">
      <c r="A48" s="366"/>
      <c r="B48" s="366"/>
      <c r="C48" s="384" t="s">
        <v>111</v>
      </c>
      <c r="D48" s="384"/>
      <c r="E48" s="384"/>
      <c r="F48" s="384"/>
      <c r="G48" s="384"/>
      <c r="H48" s="384"/>
      <c r="I48" s="384"/>
      <c r="J48" s="366"/>
      <c r="K48" s="366"/>
      <c r="L48" s="366"/>
      <c r="M48" s="366"/>
    </row>
    <row r="49" spans="3:9" ht="12.75" customHeight="1">
      <c r="C49" s="384" t="s">
        <v>127</v>
      </c>
      <c r="D49" s="384"/>
      <c r="E49" s="384"/>
      <c r="F49" s="384"/>
      <c r="G49" s="384"/>
      <c r="H49" s="384"/>
      <c r="I49" s="384"/>
    </row>
    <row r="50" spans="3:9" ht="12.75" customHeight="1">
      <c r="C50" s="384" t="s">
        <v>203</v>
      </c>
      <c r="D50" s="384"/>
      <c r="E50" s="384"/>
      <c r="F50" s="384"/>
      <c r="G50" s="384"/>
      <c r="H50" s="384"/>
      <c r="I50" s="384"/>
    </row>
    <row r="51" spans="3:9" ht="12.75" customHeight="1">
      <c r="C51" s="384" t="s">
        <v>102</v>
      </c>
      <c r="D51" s="384"/>
      <c r="E51" s="384"/>
      <c r="F51" s="384"/>
      <c r="G51" s="384"/>
      <c r="H51" s="384"/>
      <c r="I51" s="384"/>
    </row>
  </sheetData>
  <mergeCells count="7">
    <mergeCell ref="B2:D2"/>
    <mergeCell ref="F2:G2"/>
    <mergeCell ref="J2:L2"/>
    <mergeCell ref="D4:F4"/>
    <mergeCell ref="G4:L4"/>
    <mergeCell ref="B8:C8"/>
    <mergeCell ref="B4:B7"/>
  </mergeCells>
  <phoneticPr fontId="7"/>
  <pageMargins left="0.39370078740157483" right="0.39370078740157483" top="0.39370078740157483" bottom="0.39370078740157483" header="0.51181102362204722" footer="0.11811023622047245"/>
  <pageSetup paperSize="9" scale="81" fitToWidth="1" fitToHeight="1" orientation="landscape" usePrinterDefaults="1" r:id="rId1"/>
  <headerFooter alignWithMargins="0">
    <oddFooter>&amp;R&amp;A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dimension ref="A1:N35"/>
  <sheetViews>
    <sheetView showGridLines="0" view="pageBreakPreview" zoomScaleSheetLayoutView="100" workbookViewId="0">
      <selection activeCell="G32" sqref="G32"/>
    </sheetView>
  </sheetViews>
  <sheetFormatPr defaultRowHeight="13.5"/>
  <cols>
    <col min="1" max="1" width="3.5" style="1" customWidth="1"/>
    <col min="2" max="2" width="9.75" style="1" customWidth="1"/>
    <col min="3" max="3" width="15.25" style="1" customWidth="1"/>
    <col min="4" max="4" width="12.625" style="1" customWidth="1"/>
    <col min="5" max="5" width="10.625" style="1" customWidth="1"/>
    <col min="6" max="6" width="12.5" style="1" customWidth="1"/>
    <col min="7" max="7" width="12.625" style="1" customWidth="1"/>
    <col min="8" max="10" width="12.125" style="1" customWidth="1"/>
    <col min="11" max="11" width="11.625" style="1" customWidth="1"/>
    <col min="12" max="12" width="12.625" style="1" customWidth="1"/>
    <col min="13" max="13" width="17.125" style="1" customWidth="1"/>
    <col min="14" max="16384" width="9" style="1" customWidth="1"/>
  </cols>
  <sheetData>
    <row r="1" spans="2:14" ht="27" customHeight="1">
      <c r="B1" s="367" t="s">
        <v>114</v>
      </c>
    </row>
    <row r="2" spans="2:14" ht="17.25">
      <c r="B2" s="436" t="s">
        <v>184</v>
      </c>
      <c r="C2" s="392"/>
      <c r="D2" s="392"/>
      <c r="E2" s="392"/>
      <c r="F2" s="400" t="str">
        <f>'2-1（収支報告書　記載例）'!A1</f>
        <v>協定No.</v>
      </c>
      <c r="G2" s="400"/>
      <c r="H2" s="411"/>
      <c r="I2" s="400" t="s">
        <v>327</v>
      </c>
      <c r="J2" s="416" t="str">
        <f>IF('2-1（収支報告書　記載例）'!E6="","",'2-1（収支報告書　記載例）'!E6)</f>
        <v>〇〇〇〇</v>
      </c>
      <c r="K2" s="416"/>
      <c r="L2" s="416"/>
      <c r="M2" s="428" t="s">
        <v>129</v>
      </c>
      <c r="N2" s="122"/>
    </row>
    <row r="3" spans="2:14" ht="6" customHeight="1">
      <c r="B3" s="61"/>
      <c r="C3" s="61"/>
      <c r="D3" s="61"/>
      <c r="E3" s="61"/>
      <c r="F3" s="61"/>
      <c r="G3" s="61"/>
      <c r="H3" s="61"/>
      <c r="I3" s="61"/>
      <c r="J3" s="61"/>
      <c r="K3" s="61"/>
      <c r="L3" s="61"/>
      <c r="M3" s="61"/>
    </row>
    <row r="4" spans="2:14">
      <c r="B4" s="369" t="s">
        <v>185</v>
      </c>
      <c r="C4" s="376"/>
      <c r="D4" s="385" t="s">
        <v>144</v>
      </c>
      <c r="E4" s="393"/>
      <c r="F4" s="401"/>
      <c r="G4" s="407" t="s">
        <v>31</v>
      </c>
      <c r="H4" s="393"/>
      <c r="I4" s="393"/>
      <c r="J4" s="393"/>
      <c r="K4" s="393"/>
      <c r="L4" s="393"/>
      <c r="M4" s="429"/>
    </row>
    <row r="5" spans="2:14">
      <c r="B5" s="370"/>
      <c r="C5" s="377" t="s">
        <v>91</v>
      </c>
      <c r="D5" s="386" t="s">
        <v>140</v>
      </c>
      <c r="E5" s="394" t="s">
        <v>99</v>
      </c>
      <c r="F5" s="402" t="s">
        <v>186</v>
      </c>
      <c r="G5" s="408" t="s">
        <v>187</v>
      </c>
      <c r="H5" s="412" t="s">
        <v>132</v>
      </c>
      <c r="I5" s="412" t="s">
        <v>188</v>
      </c>
      <c r="J5" s="417" t="s">
        <v>33</v>
      </c>
      <c r="K5" s="422" t="s">
        <v>60</v>
      </c>
      <c r="L5" s="422" t="s">
        <v>172</v>
      </c>
      <c r="M5" s="430" t="s">
        <v>189</v>
      </c>
    </row>
    <row r="6" spans="2:14">
      <c r="B6" s="370"/>
      <c r="C6" s="378"/>
      <c r="D6" s="387" t="s">
        <v>40</v>
      </c>
      <c r="E6" s="395" t="s">
        <v>3</v>
      </c>
      <c r="F6" s="403" t="s">
        <v>94</v>
      </c>
      <c r="G6" s="409" t="s">
        <v>101</v>
      </c>
      <c r="H6" s="395" t="s">
        <v>10</v>
      </c>
      <c r="I6" s="395" t="s">
        <v>191</v>
      </c>
      <c r="J6" s="418" t="s">
        <v>53</v>
      </c>
      <c r="K6" s="423" t="s">
        <v>192</v>
      </c>
      <c r="L6" s="423" t="s">
        <v>193</v>
      </c>
      <c r="M6" s="431"/>
    </row>
    <row r="7" spans="2:14" ht="14.25">
      <c r="B7" s="371"/>
      <c r="C7" s="379"/>
      <c r="D7" s="387"/>
      <c r="E7" s="395" t="s">
        <v>195</v>
      </c>
      <c r="F7" s="403" t="s">
        <v>196</v>
      </c>
      <c r="G7" s="409" t="s">
        <v>142</v>
      </c>
      <c r="H7" s="395" t="s">
        <v>197</v>
      </c>
      <c r="I7" s="395" t="s">
        <v>198</v>
      </c>
      <c r="J7" s="418" t="s">
        <v>199</v>
      </c>
      <c r="K7" s="423"/>
      <c r="L7" s="423" t="s">
        <v>200</v>
      </c>
      <c r="M7" s="432" t="s">
        <v>201</v>
      </c>
    </row>
    <row r="8" spans="2:14" ht="18.75" customHeight="1">
      <c r="B8" s="372" t="s">
        <v>163</v>
      </c>
      <c r="C8" s="380"/>
      <c r="D8" s="388">
        <f t="shared" ref="D8:M8" si="0">IF(SUM(D9:D29)=0,"",SUM(D9:D29))</f>
        <v>1646819</v>
      </c>
      <c r="E8" s="396">
        <f t="shared" si="0"/>
        <v>354750</v>
      </c>
      <c r="F8" s="396">
        <f t="shared" si="0"/>
        <v>2001569</v>
      </c>
      <c r="G8" s="396">
        <f t="shared" si="0"/>
        <v>862792</v>
      </c>
      <c r="H8" s="396" t="str">
        <f t="shared" si="0"/>
        <v/>
      </c>
      <c r="I8" s="396">
        <f t="shared" si="0"/>
        <v>200000</v>
      </c>
      <c r="J8" s="396">
        <f t="shared" si="0"/>
        <v>662792</v>
      </c>
      <c r="K8" s="396">
        <f t="shared" si="0"/>
        <v>1127567</v>
      </c>
      <c r="L8" s="396">
        <f t="shared" si="0"/>
        <v>1790359</v>
      </c>
      <c r="M8" s="396">
        <f t="shared" si="0"/>
        <v>211210</v>
      </c>
    </row>
    <row r="9" spans="2:14" ht="21" customHeight="1">
      <c r="B9" s="373">
        <f>IF('2-1（収支報告書　記載例）'!$A40="","",1)</f>
        <v>1</v>
      </c>
      <c r="C9" s="381" t="str">
        <f>'2-1（収支報告書　記載例）'!$A40</f>
        <v>島根　１郎</v>
      </c>
      <c r="D9" s="389">
        <f>'2-1（収支報告書　記載例）'!$E40</f>
        <v>47071</v>
      </c>
      <c r="E9" s="397">
        <f>'３-1(執行状況調書　記載例)'!$T8</f>
        <v>51000</v>
      </c>
      <c r="F9" s="404">
        <f t="shared" ref="F9:F29" si="1">IF(G9="","",SUM(D9:E9))</f>
        <v>98071</v>
      </c>
      <c r="G9" s="410">
        <f>'2-1（収支報告書　記載例）'!$F40</f>
        <v>39905</v>
      </c>
      <c r="H9" s="413"/>
      <c r="I9" s="413">
        <v>20000</v>
      </c>
      <c r="J9" s="419">
        <f t="shared" ref="J9:J29" si="2">IF(G9="","",G9-(H9+I9))</f>
        <v>19905</v>
      </c>
      <c r="K9" s="424">
        <f>IF(B9="","",VLOOKUP(B9,'19-1（減価償却内訳　記載例）'!AA:AC,3))</f>
        <v>108162</v>
      </c>
      <c r="L9" s="427">
        <f t="shared" ref="L9:L29" si="3">IF(G9="","",SUM(J9:K9))</f>
        <v>128067</v>
      </c>
      <c r="M9" s="433">
        <f t="shared" ref="M9:M29" si="4">IF(G9="","",F9-L9)</f>
        <v>-29996</v>
      </c>
    </row>
    <row r="10" spans="2:14" ht="21" customHeight="1">
      <c r="B10" s="373">
        <f>IF('2-1（収支報告書　記載例）'!$A41="","",$B9+1)</f>
        <v>2</v>
      </c>
      <c r="C10" s="381" t="str">
        <f>'2-1（収支報告書　記載例）'!$A41</f>
        <v>島根　２郎</v>
      </c>
      <c r="D10" s="389">
        <f>'2-1（収支報告書　記載例）'!$E41</f>
        <v>99984</v>
      </c>
      <c r="E10" s="398">
        <f>'３-1(執行状況調書　記載例)'!$T9</f>
        <v>48000</v>
      </c>
      <c r="F10" s="405">
        <f t="shared" si="1"/>
        <v>147984</v>
      </c>
      <c r="G10" s="398">
        <f>'2-1（収支報告書　記載例）'!$F41</f>
        <v>56632</v>
      </c>
      <c r="H10" s="414"/>
      <c r="I10" s="414">
        <v>20000</v>
      </c>
      <c r="J10" s="420">
        <f t="shared" si="2"/>
        <v>36632</v>
      </c>
      <c r="K10" s="425">
        <f>IF(B10="","",VLOOKUP(B10,'19-1（減価償却内訳　記載例）'!AA:AC,3))</f>
        <v>70661</v>
      </c>
      <c r="L10" s="405">
        <f t="shared" si="3"/>
        <v>107293</v>
      </c>
      <c r="M10" s="434">
        <f t="shared" si="4"/>
        <v>40691</v>
      </c>
    </row>
    <row r="11" spans="2:14" ht="21" customHeight="1">
      <c r="B11" s="373">
        <f>IF('2-1（収支報告書　記載例）'!$A42="","",$B10+1)</f>
        <v>3</v>
      </c>
      <c r="C11" s="381" t="str">
        <f>'2-1（収支報告書　記載例）'!$A42</f>
        <v>島根　３郎</v>
      </c>
      <c r="D11" s="389">
        <f>'2-1（収支報告書　記載例）'!$E42</f>
        <v>37975</v>
      </c>
      <c r="E11" s="398">
        <f>'３-1(執行状況調書　記載例)'!$T10</f>
        <v>33000</v>
      </c>
      <c r="F11" s="405">
        <f t="shared" si="1"/>
        <v>70975</v>
      </c>
      <c r="G11" s="398">
        <f>'2-1（収支報告書　記載例）'!$F42</f>
        <v>25047</v>
      </c>
      <c r="H11" s="414"/>
      <c r="I11" s="414">
        <v>20000</v>
      </c>
      <c r="J11" s="405">
        <f t="shared" si="2"/>
        <v>5047</v>
      </c>
      <c r="K11" s="425">
        <f>IF(B11="","",VLOOKUP(B11,'19-1（減価償却内訳　記載例）'!AA:AC,3))</f>
        <v>108161</v>
      </c>
      <c r="L11" s="405">
        <f t="shared" si="3"/>
        <v>113208</v>
      </c>
      <c r="M11" s="434">
        <f t="shared" si="4"/>
        <v>-42233</v>
      </c>
    </row>
    <row r="12" spans="2:14" ht="21" customHeight="1">
      <c r="B12" s="373">
        <f>IF('2-1（収支報告書　記載例）'!$A43="","",$B11+1)</f>
        <v>4</v>
      </c>
      <c r="C12" s="381" t="str">
        <f>'2-1（収支報告書　記載例）'!$A43</f>
        <v>島根　４郎</v>
      </c>
      <c r="D12" s="389">
        <f>'2-1（収支報告書　記載例）'!$E43</f>
        <v>213086</v>
      </c>
      <c r="E12" s="398">
        <f>'３-1(執行状況調書　記載例)'!$T11</f>
        <v>52500</v>
      </c>
      <c r="F12" s="405">
        <f t="shared" si="1"/>
        <v>265586</v>
      </c>
      <c r="G12" s="398">
        <f>'2-1（収支報告書　記載例）'!$F43</f>
        <v>99447</v>
      </c>
      <c r="H12" s="414"/>
      <c r="I12" s="414">
        <v>20000</v>
      </c>
      <c r="J12" s="405">
        <f t="shared" si="2"/>
        <v>79447</v>
      </c>
      <c r="K12" s="425">
        <f>IF(B12="","",VLOOKUP(B12,'19-1（減価償却内訳　記載例）'!AA:AC,3))</f>
        <v>52786</v>
      </c>
      <c r="L12" s="405">
        <f t="shared" si="3"/>
        <v>132233</v>
      </c>
      <c r="M12" s="434">
        <f t="shared" si="4"/>
        <v>133353</v>
      </c>
    </row>
    <row r="13" spans="2:14" ht="21" customHeight="1">
      <c r="B13" s="373">
        <f>IF('2-1（収支報告書　記載例）'!$A44="","",$B12+1)</f>
        <v>5</v>
      </c>
      <c r="C13" s="381" t="str">
        <f>'2-1（収支報告書　記載例）'!$A44</f>
        <v>島根　５郎</v>
      </c>
      <c r="D13" s="389">
        <f>'2-1（収支報告書　記載例）'!$E44</f>
        <v>81690</v>
      </c>
      <c r="E13" s="398">
        <f>'３-1(執行状況調書　記載例)'!$T12</f>
        <v>42000</v>
      </c>
      <c r="F13" s="405">
        <f t="shared" si="1"/>
        <v>123690</v>
      </c>
      <c r="G13" s="398">
        <f>'2-1（収支報告書　記載例）'!$F44</f>
        <v>56003</v>
      </c>
      <c r="H13" s="414"/>
      <c r="I13" s="414">
        <v>20000</v>
      </c>
      <c r="J13" s="405">
        <f t="shared" si="2"/>
        <v>36003</v>
      </c>
      <c r="K13" s="425">
        <f>IF(B13="","",VLOOKUP(B13,'19-1（減価償却内訳　記載例）'!AA:AC,3))</f>
        <v>78370</v>
      </c>
      <c r="L13" s="405">
        <f t="shared" si="3"/>
        <v>114373</v>
      </c>
      <c r="M13" s="434">
        <f t="shared" si="4"/>
        <v>9317</v>
      </c>
    </row>
    <row r="14" spans="2:14" ht="21" customHeight="1">
      <c r="B14" s="373">
        <f>IF('2-1（収支報告書　記載例）'!$A45="","",$B13+1)</f>
        <v>6</v>
      </c>
      <c r="C14" s="381" t="str">
        <f>'2-1（収支報告書　記載例）'!$A45</f>
        <v>島根　６郎</v>
      </c>
      <c r="D14" s="389">
        <f>'2-1（収支報告書　記載例）'!$E45</f>
        <v>7626</v>
      </c>
      <c r="E14" s="398" t="str">
        <f>'３-1(執行状況調書　記載例)'!$T13</f>
        <v/>
      </c>
      <c r="F14" s="405">
        <f t="shared" si="1"/>
        <v>7626</v>
      </c>
      <c r="G14" s="398">
        <f>'2-1（収支報告書　記載例）'!$F45</f>
        <v>2691</v>
      </c>
      <c r="H14" s="414"/>
      <c r="I14" s="414">
        <v>20000</v>
      </c>
      <c r="J14" s="405">
        <f t="shared" si="2"/>
        <v>-17309</v>
      </c>
      <c r="K14" s="425">
        <f>IF(B14="","",VLOOKUP(B14,'19-1（減価償却内訳　記載例）'!AA:AC,3))</f>
        <v>108161</v>
      </c>
      <c r="L14" s="405">
        <f t="shared" si="3"/>
        <v>90852</v>
      </c>
      <c r="M14" s="434">
        <f t="shared" si="4"/>
        <v>-83226</v>
      </c>
    </row>
    <row r="15" spans="2:14" ht="21" customHeight="1">
      <c r="B15" s="373">
        <f>IF('2-1（収支報告書　記載例）'!$A46="","",$B14+1)</f>
        <v>7</v>
      </c>
      <c r="C15" s="381" t="str">
        <f>'2-1（収支報告書　記載例）'!$A46</f>
        <v>島根　７郎</v>
      </c>
      <c r="D15" s="389">
        <f>'2-1（収支報告書　記載例）'!$E46</f>
        <v>5577</v>
      </c>
      <c r="E15" s="398" t="str">
        <f>'３-1(執行状況調書　記載例)'!$T14</f>
        <v/>
      </c>
      <c r="F15" s="405">
        <f t="shared" si="1"/>
        <v>5577</v>
      </c>
      <c r="G15" s="398">
        <f>'2-1（収支報告書　記載例）'!$F46</f>
        <v>1967</v>
      </c>
      <c r="H15" s="414"/>
      <c r="I15" s="414">
        <v>20000</v>
      </c>
      <c r="J15" s="405">
        <f t="shared" si="2"/>
        <v>-18033</v>
      </c>
      <c r="K15" s="425">
        <f>IF(B15="","",VLOOKUP(B15,'19-1（減価償却内訳　記載例）'!AA:AC,3))</f>
        <v>52786</v>
      </c>
      <c r="L15" s="405">
        <f t="shared" si="3"/>
        <v>34753</v>
      </c>
      <c r="M15" s="434">
        <f t="shared" si="4"/>
        <v>-29176</v>
      </c>
    </row>
    <row r="16" spans="2:14" ht="21.75" customHeight="1">
      <c r="B16" s="373">
        <f>IF('2-1（収支報告書　記載例）'!$A47="","",$B15+1)</f>
        <v>8</v>
      </c>
      <c r="C16" s="381" t="str">
        <f>'2-1（収支報告書　記載例）'!$A47</f>
        <v>島根　８郎</v>
      </c>
      <c r="D16" s="389">
        <f>'2-1（収支報告書　記載例）'!$E47</f>
        <v>30090</v>
      </c>
      <c r="E16" s="398" t="str">
        <f>'３-1(執行状況調書　記載例)'!$T15</f>
        <v/>
      </c>
      <c r="F16" s="405">
        <f t="shared" si="1"/>
        <v>30090</v>
      </c>
      <c r="G16" s="398">
        <f>'2-1（収支報告書　記載例）'!$F47</f>
        <v>10616</v>
      </c>
      <c r="H16" s="414"/>
      <c r="I16" s="414">
        <v>20000</v>
      </c>
      <c r="J16" s="405">
        <f t="shared" si="2"/>
        <v>-9384</v>
      </c>
      <c r="K16" s="425">
        <f>IF(B16="","",VLOOKUP(B16,'19-1（減価償却内訳　記載例）'!AA:AC,3))</f>
        <v>100550</v>
      </c>
      <c r="L16" s="405">
        <f t="shared" si="3"/>
        <v>91166</v>
      </c>
      <c r="M16" s="434">
        <f t="shared" si="4"/>
        <v>-61076</v>
      </c>
    </row>
    <row r="17" spans="1:13" ht="21" customHeight="1">
      <c r="B17" s="373">
        <f>IF('2-1（収支報告書　記載例）'!$A48="","",$B16+1)</f>
        <v>9</v>
      </c>
      <c r="C17" s="381" t="str">
        <f>'2-1（収支報告書　記載例）'!$A48</f>
        <v>島根　９郎</v>
      </c>
      <c r="D17" s="389">
        <f>'2-1（収支報告書　記載例）'!$E48</f>
        <v>72323</v>
      </c>
      <c r="E17" s="398">
        <f>'３-1(執行状況調書　記載例)'!$T16</f>
        <v>3000</v>
      </c>
      <c r="F17" s="405">
        <f t="shared" si="1"/>
        <v>75323</v>
      </c>
      <c r="G17" s="398">
        <f>'2-1（収支報告書　記載例）'!$F48</f>
        <v>27457</v>
      </c>
      <c r="H17" s="414"/>
      <c r="I17" s="414"/>
      <c r="J17" s="405">
        <f t="shared" si="2"/>
        <v>27457</v>
      </c>
      <c r="K17" s="425">
        <f>IF(B17="","",VLOOKUP(B17,'19-1（減価償却内訳　記載例）'!AA:AC,3))</f>
        <v>52786</v>
      </c>
      <c r="L17" s="405">
        <f t="shared" si="3"/>
        <v>80243</v>
      </c>
      <c r="M17" s="434">
        <f t="shared" si="4"/>
        <v>-4920</v>
      </c>
    </row>
    <row r="18" spans="1:13" ht="21" customHeight="1">
      <c r="B18" s="373">
        <f>IF('2-1（収支報告書　記載例）'!$A49="","",$B17+1)</f>
        <v>10</v>
      </c>
      <c r="C18" s="381" t="str">
        <f>'2-1（収支報告書　記載例）'!$A49</f>
        <v>島根　１０郎</v>
      </c>
      <c r="D18" s="389">
        <f>'2-1（収支報告書　記載例）'!$E49</f>
        <v>77265</v>
      </c>
      <c r="E18" s="398">
        <f>'３-1(執行状況調書　記載例)'!$T17</f>
        <v>6000</v>
      </c>
      <c r="F18" s="405">
        <f t="shared" si="1"/>
        <v>83265</v>
      </c>
      <c r="G18" s="398">
        <f>'2-1（収支報告書　記載例）'!$F49</f>
        <v>31142</v>
      </c>
      <c r="H18" s="414"/>
      <c r="I18" s="414">
        <v>20000</v>
      </c>
      <c r="J18" s="405">
        <f t="shared" si="2"/>
        <v>11142</v>
      </c>
      <c r="K18" s="425">
        <f>IF(B18="","",VLOOKUP(B18,'19-1（減価償却内訳　記載例）'!AA:AC,3))</f>
        <v>92777</v>
      </c>
      <c r="L18" s="405">
        <f t="shared" si="3"/>
        <v>103919</v>
      </c>
      <c r="M18" s="434">
        <f t="shared" si="4"/>
        <v>-20654</v>
      </c>
    </row>
    <row r="19" spans="1:13" ht="21" customHeight="1">
      <c r="B19" s="373">
        <f>IF('2-1（収支報告書　記載例）'!$A50="","",$B18+1)</f>
        <v>11</v>
      </c>
      <c r="C19" s="381" t="str">
        <f>'2-1（収支報告書　記載例）'!$A50</f>
        <v>島根　１１郎</v>
      </c>
      <c r="D19" s="389">
        <f>'2-1（収支報告書　記載例）'!$E50</f>
        <v>196340</v>
      </c>
      <c r="E19" s="398">
        <f>'３-1(執行状況調書　記載例)'!$T18</f>
        <v>16500</v>
      </c>
      <c r="F19" s="405">
        <f t="shared" si="1"/>
        <v>212840</v>
      </c>
      <c r="G19" s="398">
        <f>'2-1（収支報告書　記載例）'!$F50</f>
        <v>80507</v>
      </c>
      <c r="H19" s="414"/>
      <c r="I19" s="414"/>
      <c r="J19" s="405">
        <f t="shared" si="2"/>
        <v>80507</v>
      </c>
      <c r="K19" s="425">
        <f>IF(B19="","",VLOOKUP(B19,'19-1（減価償却内訳　記載例）'!AA:AC,3))</f>
        <v>63050</v>
      </c>
      <c r="L19" s="405">
        <f t="shared" si="3"/>
        <v>143557</v>
      </c>
      <c r="M19" s="434">
        <f t="shared" si="4"/>
        <v>69283</v>
      </c>
    </row>
    <row r="20" spans="1:13" ht="21" customHeight="1">
      <c r="B20" s="373">
        <f>IF('2-1（収支報告書　記載例）'!$A51="","",$B19+1)</f>
        <v>12</v>
      </c>
      <c r="C20" s="381" t="str">
        <f>'2-1（収支報告書　記載例）'!$A51</f>
        <v>島根　１２郎</v>
      </c>
      <c r="D20" s="389">
        <f>'2-1（収支報告書　記載例）'!$E51</f>
        <v>397792</v>
      </c>
      <c r="E20" s="398">
        <f>'３-1(執行状況調書　記載例)'!$T19</f>
        <v>42750</v>
      </c>
      <c r="F20" s="405">
        <f t="shared" si="1"/>
        <v>440542</v>
      </c>
      <c r="G20" s="398">
        <f>'2-1（収支報告書　記載例）'!$F51</f>
        <v>231513</v>
      </c>
      <c r="H20" s="414"/>
      <c r="I20" s="414"/>
      <c r="J20" s="405">
        <f t="shared" si="2"/>
        <v>231513</v>
      </c>
      <c r="K20" s="425">
        <f>IF(B20="","",VLOOKUP(B20,'19-1（減価償却内訳　記載例）'!AA:AC,3))</f>
        <v>108161</v>
      </c>
      <c r="L20" s="405">
        <f t="shared" si="3"/>
        <v>339674</v>
      </c>
      <c r="M20" s="434">
        <f t="shared" si="4"/>
        <v>100868</v>
      </c>
    </row>
    <row r="21" spans="1:13" ht="21" customHeight="1">
      <c r="B21" s="373">
        <f>IF('2-1（収支報告書　記載例）'!$A52="","",$B20+1)</f>
        <v>13</v>
      </c>
      <c r="C21" s="381" t="str">
        <f>'2-1（収支報告書　記載例）'!$A52</f>
        <v>島根　１３郎</v>
      </c>
      <c r="D21" s="389">
        <f>'2-1（収支報告書　記載例）'!$E52</f>
        <v>171323</v>
      </c>
      <c r="E21" s="398">
        <f>'３-1(執行状況調書　記載例)'!$T20</f>
        <v>30000</v>
      </c>
      <c r="F21" s="405">
        <f t="shared" si="1"/>
        <v>201323</v>
      </c>
      <c r="G21" s="398">
        <f>'2-1（収支報告書　記載例）'!$F52</f>
        <v>78276</v>
      </c>
      <c r="H21" s="414"/>
      <c r="I21" s="414">
        <v>20000</v>
      </c>
      <c r="J21" s="405">
        <f t="shared" si="2"/>
        <v>58276</v>
      </c>
      <c r="K21" s="425">
        <f>IF(B21="","",VLOOKUP(B21,'19-1（減価償却内訳　記載例）'!AA:AC,3))</f>
        <v>52786</v>
      </c>
      <c r="L21" s="405">
        <f t="shared" si="3"/>
        <v>111062</v>
      </c>
      <c r="M21" s="434">
        <f t="shared" si="4"/>
        <v>90261</v>
      </c>
    </row>
    <row r="22" spans="1:13" ht="21" customHeight="1">
      <c r="B22" s="373">
        <f>IF('2-1（収支報告書　記載例）'!$A53="","",$B21+1)</f>
        <v>14</v>
      </c>
      <c r="C22" s="381" t="str">
        <f>'2-1（収支報告書　記載例）'!$A53</f>
        <v>島根　１４郎</v>
      </c>
      <c r="D22" s="389">
        <f>'2-1（収支報告書　記載例）'!$E53</f>
        <v>208677</v>
      </c>
      <c r="E22" s="398">
        <f>'３-1(執行状況調書　記載例)'!$T21</f>
        <v>30000</v>
      </c>
      <c r="F22" s="405">
        <f t="shared" si="1"/>
        <v>238677</v>
      </c>
      <c r="G22" s="398">
        <f>'2-1（収支報告書　記載例）'!$F53</f>
        <v>121589</v>
      </c>
      <c r="H22" s="414"/>
      <c r="I22" s="414"/>
      <c r="J22" s="405">
        <f t="shared" si="2"/>
        <v>121589</v>
      </c>
      <c r="K22" s="425">
        <f>IF(B22="","",VLOOKUP(B22,'19-1（減価償却内訳　記載例）'!AA:AC,3))</f>
        <v>78370</v>
      </c>
      <c r="L22" s="405">
        <f t="shared" si="3"/>
        <v>199959</v>
      </c>
      <c r="M22" s="434">
        <f t="shared" si="4"/>
        <v>38718</v>
      </c>
    </row>
    <row r="23" spans="1:13" ht="21" customHeight="1">
      <c r="B23" s="373" t="str">
        <f>IF('2-1（収支報告書　記載例）'!$A54="","",$B22+1)</f>
        <v/>
      </c>
      <c r="C23" s="381">
        <f>'2-1（収支報告書　記載例）'!$A54</f>
        <v>0</v>
      </c>
      <c r="D23" s="389" t="str">
        <f>'2-1（収支報告書　記載例）'!$E54</f>
        <v/>
      </c>
      <c r="E23" s="398" t="str">
        <f>'３-1(執行状況調書　記載例)'!$T22</f>
        <v/>
      </c>
      <c r="F23" s="405" t="str">
        <f t="shared" si="1"/>
        <v/>
      </c>
      <c r="G23" s="398" t="str">
        <f>'2-1（収支報告書　記載例）'!$F54</f>
        <v/>
      </c>
      <c r="H23" s="414"/>
      <c r="I23" s="414"/>
      <c r="J23" s="405" t="str">
        <f t="shared" si="2"/>
        <v/>
      </c>
      <c r="K23" s="425" t="str">
        <f>IF(B23="","",VLOOKUP(B23,'19-1（減価償却内訳　記載例）'!AA:AC,3))</f>
        <v/>
      </c>
      <c r="L23" s="405" t="str">
        <f t="shared" si="3"/>
        <v/>
      </c>
      <c r="M23" s="434" t="str">
        <f t="shared" si="4"/>
        <v/>
      </c>
    </row>
    <row r="24" spans="1:13" ht="21" customHeight="1">
      <c r="B24" s="373" t="str">
        <f>IF('2-1（収支報告書　記載例）'!$A55="","",$B23+1)</f>
        <v/>
      </c>
      <c r="C24" s="381">
        <f>'2-1（収支報告書　記載例）'!$A55</f>
        <v>0</v>
      </c>
      <c r="D24" s="389" t="str">
        <f>'2-1（収支報告書　記載例）'!$E55</f>
        <v/>
      </c>
      <c r="E24" s="398" t="str">
        <f>'３-1(執行状況調書　記載例)'!$T23</f>
        <v/>
      </c>
      <c r="F24" s="405" t="str">
        <f t="shared" si="1"/>
        <v/>
      </c>
      <c r="G24" s="398" t="str">
        <f>'2-1（収支報告書　記載例）'!$F55</f>
        <v/>
      </c>
      <c r="H24" s="414"/>
      <c r="I24" s="414"/>
      <c r="J24" s="405" t="str">
        <f t="shared" si="2"/>
        <v/>
      </c>
      <c r="K24" s="425" t="str">
        <f>IF(B24="","",VLOOKUP(B24,'19-1（減価償却内訳　記載例）'!AA:AC,3))</f>
        <v/>
      </c>
      <c r="L24" s="405" t="str">
        <f t="shared" si="3"/>
        <v/>
      </c>
      <c r="M24" s="434" t="str">
        <f t="shared" si="4"/>
        <v/>
      </c>
    </row>
    <row r="25" spans="1:13" ht="21" customHeight="1">
      <c r="B25" s="373" t="str">
        <f>IF('2-1（収支報告書　記載例）'!$A56="","",$B24+1)</f>
        <v/>
      </c>
      <c r="C25" s="381">
        <f>'2-1（収支報告書　記載例）'!$A56</f>
        <v>0</v>
      </c>
      <c r="D25" s="389" t="str">
        <f>'2-1（収支報告書　記載例）'!$E56</f>
        <v/>
      </c>
      <c r="E25" s="398" t="str">
        <f>'３-1(執行状況調書　記載例)'!$T24</f>
        <v/>
      </c>
      <c r="F25" s="405" t="str">
        <f t="shared" si="1"/>
        <v/>
      </c>
      <c r="G25" s="398" t="str">
        <f>'2-1（収支報告書　記載例）'!$F56</f>
        <v/>
      </c>
      <c r="H25" s="414"/>
      <c r="I25" s="414"/>
      <c r="J25" s="405" t="str">
        <f t="shared" si="2"/>
        <v/>
      </c>
      <c r="K25" s="425" t="str">
        <f>IF(B25="","",VLOOKUP(B25,'19-1（減価償却内訳　記載例）'!AA:AC,3))</f>
        <v/>
      </c>
      <c r="L25" s="405" t="str">
        <f t="shared" si="3"/>
        <v/>
      </c>
      <c r="M25" s="434" t="str">
        <f t="shared" si="4"/>
        <v/>
      </c>
    </row>
    <row r="26" spans="1:13" ht="21" customHeight="1">
      <c r="B26" s="373" t="str">
        <f>IF('2-1（収支報告書　記載例）'!$A57="","",$B25+1)</f>
        <v/>
      </c>
      <c r="C26" s="381">
        <f>'2-1（収支報告書　記載例）'!$A57</f>
        <v>0</v>
      </c>
      <c r="D26" s="389" t="str">
        <f>'2-1（収支報告書　記載例）'!$E57</f>
        <v/>
      </c>
      <c r="E26" s="398" t="str">
        <f>'３-1(執行状況調書　記載例)'!$T25</f>
        <v/>
      </c>
      <c r="F26" s="405" t="str">
        <f t="shared" si="1"/>
        <v/>
      </c>
      <c r="G26" s="398" t="str">
        <f>'2-1（収支報告書　記載例）'!$F57</f>
        <v/>
      </c>
      <c r="H26" s="414"/>
      <c r="I26" s="414"/>
      <c r="J26" s="405" t="str">
        <f t="shared" si="2"/>
        <v/>
      </c>
      <c r="K26" s="425" t="str">
        <f>IF(B26="","",VLOOKUP(B26,'19-1（減価償却内訳　記載例）'!AA:AC,3))</f>
        <v/>
      </c>
      <c r="L26" s="405" t="str">
        <f t="shared" si="3"/>
        <v/>
      </c>
      <c r="M26" s="434" t="str">
        <f t="shared" si="4"/>
        <v/>
      </c>
    </row>
    <row r="27" spans="1:13" ht="21" customHeight="1">
      <c r="B27" s="373" t="str">
        <f>IF('2-1（収支報告書　記載例）'!$A58="","",$B26+1)</f>
        <v/>
      </c>
      <c r="C27" s="381">
        <f>'2-1（収支報告書　記載例）'!$A58</f>
        <v>0</v>
      </c>
      <c r="D27" s="389" t="str">
        <f>'2-1（収支報告書　記載例）'!$E58</f>
        <v/>
      </c>
      <c r="E27" s="398" t="str">
        <f>'３-1(執行状況調書　記載例)'!$T26</f>
        <v/>
      </c>
      <c r="F27" s="405" t="str">
        <f t="shared" si="1"/>
        <v/>
      </c>
      <c r="G27" s="398" t="str">
        <f>'2-1（収支報告書　記載例）'!$F58</f>
        <v/>
      </c>
      <c r="H27" s="414"/>
      <c r="I27" s="414"/>
      <c r="J27" s="405" t="str">
        <f t="shared" si="2"/>
        <v/>
      </c>
      <c r="K27" s="425" t="str">
        <f>IF(B27="","",VLOOKUP(B27,'19-1（減価償却内訳　記載例）'!AA:AC,3))</f>
        <v/>
      </c>
      <c r="L27" s="405" t="str">
        <f t="shared" si="3"/>
        <v/>
      </c>
      <c r="M27" s="434" t="str">
        <f t="shared" si="4"/>
        <v/>
      </c>
    </row>
    <row r="28" spans="1:13" ht="21" customHeight="1">
      <c r="B28" s="373" t="str">
        <f>IF('2-1（収支報告書　記載例）'!$A59="","",$B27+1)</f>
        <v/>
      </c>
      <c r="C28" s="381">
        <f>'2-1（収支報告書　記載例）'!$A59</f>
        <v>0</v>
      </c>
      <c r="D28" s="389" t="str">
        <f>'2-1（収支報告書　記載例）'!$E59</f>
        <v/>
      </c>
      <c r="E28" s="398" t="str">
        <f>'３-1(執行状況調書　記載例)'!$T27</f>
        <v/>
      </c>
      <c r="F28" s="405" t="str">
        <f t="shared" si="1"/>
        <v/>
      </c>
      <c r="G28" s="398" t="str">
        <f>'2-1（収支報告書　記載例）'!$F59</f>
        <v/>
      </c>
      <c r="H28" s="414"/>
      <c r="I28" s="414"/>
      <c r="J28" s="405" t="str">
        <f t="shared" si="2"/>
        <v/>
      </c>
      <c r="K28" s="425" t="str">
        <f>IF(B28="","",VLOOKUP(B28,'19-1（減価償却内訳　記載例）'!AA:AC,3))</f>
        <v/>
      </c>
      <c r="L28" s="405" t="str">
        <f t="shared" si="3"/>
        <v/>
      </c>
      <c r="M28" s="434" t="str">
        <f t="shared" si="4"/>
        <v/>
      </c>
    </row>
    <row r="29" spans="1:13" ht="21" customHeight="1">
      <c r="B29" s="373" t="str">
        <f>IF('2-1（収支報告書　記載例）'!$A60="","",$B28+1)</f>
        <v/>
      </c>
      <c r="C29" s="381">
        <f>'2-1（収支報告書　記載例）'!$A60</f>
        <v>0</v>
      </c>
      <c r="D29" s="389" t="str">
        <f>'2-1（収支報告書　記載例）'!$E60</f>
        <v/>
      </c>
      <c r="E29" s="398" t="str">
        <f>'３-1(執行状況調書　記載例)'!$T28</f>
        <v/>
      </c>
      <c r="F29" s="405" t="str">
        <f t="shared" si="1"/>
        <v/>
      </c>
      <c r="G29" s="398" t="str">
        <f>'2-1（収支報告書　記載例）'!$F60</f>
        <v/>
      </c>
      <c r="H29" s="414"/>
      <c r="I29" s="414"/>
      <c r="J29" s="405" t="str">
        <f t="shared" si="2"/>
        <v/>
      </c>
      <c r="K29" s="425" t="str">
        <f>IF(B29="","",VLOOKUP(B29,'19-1（減価償却内訳　記載例）'!AA:AC,3))</f>
        <v/>
      </c>
      <c r="L29" s="405" t="str">
        <f t="shared" si="3"/>
        <v/>
      </c>
      <c r="M29" s="434" t="str">
        <f t="shared" si="4"/>
        <v/>
      </c>
    </row>
    <row r="30" spans="1:13" ht="7.5" customHeight="1">
      <c r="A30" s="366"/>
      <c r="B30" s="366"/>
      <c r="D30" s="366"/>
      <c r="E30" s="366"/>
      <c r="F30" s="366"/>
      <c r="G30" s="366"/>
      <c r="H30" s="366"/>
      <c r="I30" s="366"/>
      <c r="J30" s="366"/>
      <c r="K30" s="366"/>
      <c r="L30" s="366"/>
      <c r="M30" s="366"/>
    </row>
    <row r="31" spans="1:13" ht="12.75" customHeight="1">
      <c r="A31" s="366"/>
      <c r="B31" s="366"/>
      <c r="C31" s="384" t="s">
        <v>206</v>
      </c>
      <c r="D31" s="384"/>
      <c r="E31" s="384"/>
      <c r="F31" s="384"/>
      <c r="G31" s="384"/>
      <c r="H31" s="384"/>
      <c r="I31" s="384"/>
      <c r="J31" s="366"/>
      <c r="K31" s="366"/>
      <c r="L31" s="366"/>
      <c r="M31" s="366"/>
    </row>
    <row r="32" spans="1:13" ht="12.75" customHeight="1">
      <c r="A32" s="366"/>
      <c r="B32" s="366"/>
      <c r="C32" s="384" t="s">
        <v>111</v>
      </c>
      <c r="D32" s="384"/>
      <c r="E32" s="384"/>
      <c r="F32" s="384"/>
      <c r="G32" s="384"/>
      <c r="H32" s="384"/>
      <c r="I32" s="384"/>
      <c r="J32" s="366"/>
      <c r="K32" s="366"/>
      <c r="L32" s="366"/>
      <c r="M32" s="366"/>
    </row>
    <row r="33" spans="3:9" ht="12.75" customHeight="1">
      <c r="C33" s="384" t="s">
        <v>127</v>
      </c>
      <c r="D33" s="384"/>
      <c r="E33" s="384"/>
      <c r="F33" s="384"/>
      <c r="G33" s="384"/>
      <c r="H33" s="384"/>
      <c r="I33" s="384"/>
    </row>
    <row r="34" spans="3:9" ht="12.75" customHeight="1">
      <c r="C34" s="384" t="s">
        <v>203</v>
      </c>
      <c r="D34" s="384"/>
      <c r="E34" s="384"/>
      <c r="F34" s="384"/>
      <c r="G34" s="384"/>
      <c r="H34" s="384"/>
      <c r="I34" s="384"/>
    </row>
    <row r="35" spans="3:9" ht="12.75" customHeight="1">
      <c r="C35" s="384" t="s">
        <v>102</v>
      </c>
      <c r="D35" s="384"/>
      <c r="E35" s="384"/>
      <c r="F35" s="384"/>
      <c r="G35" s="384"/>
      <c r="H35" s="384"/>
      <c r="I35" s="384"/>
    </row>
  </sheetData>
  <mergeCells count="6">
    <mergeCell ref="F2:G2"/>
    <mergeCell ref="J2:L2"/>
    <mergeCell ref="D4:F4"/>
    <mergeCell ref="G4:L4"/>
    <mergeCell ref="B8:C8"/>
    <mergeCell ref="B4:B7"/>
  </mergeCells>
  <phoneticPr fontId="7"/>
  <pageMargins left="0.39370078740157483" right="0.39370078740157483" top="0.39370078740157483" bottom="0.39370078740157483" header="0.51181102362204722" footer="0.11811023622047245"/>
  <pageSetup paperSize="9" scale="81" fitToWidth="1" fitToHeight="1" orientation="landscape" usePrinterDefaults="1" r:id="rId1"/>
  <headerFooter alignWithMargins="0">
    <oddFooter>&amp;R&amp;A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dimension ref="B2:M518"/>
  <sheetViews>
    <sheetView showGridLines="0" view="pageBreakPreview" zoomScale="85" zoomScaleSheetLayoutView="85" workbookViewId="0">
      <selection activeCell="Q22" sqref="Q22"/>
    </sheetView>
  </sheetViews>
  <sheetFormatPr defaultRowHeight="13.5"/>
  <cols>
    <col min="1" max="1" width="1.375" style="1" customWidth="1"/>
    <col min="2" max="2" width="12.625" style="1" customWidth="1"/>
    <col min="3" max="3" width="12.125" style="1" customWidth="1"/>
    <col min="4" max="4" width="0.25" style="1" customWidth="1"/>
    <col min="5" max="5" width="12.125" style="1" customWidth="1"/>
    <col min="6" max="6" width="11.625" style="1" customWidth="1"/>
    <col min="7" max="8" width="15.625" style="1" customWidth="1"/>
    <col min="9" max="10" width="12.625" style="1" customWidth="1"/>
    <col min="11" max="11" width="0.25" style="1" customWidth="1"/>
    <col min="12" max="12" width="14.125" style="1" customWidth="1"/>
    <col min="13" max="13" width="17.75" style="1" customWidth="1"/>
    <col min="14" max="16384" width="9" style="1" customWidth="1"/>
  </cols>
  <sheetData>
    <row r="2" spans="2:13" ht="14.25">
      <c r="E2" s="445">
        <f>'2（収支報告書)'!$A$9</f>
        <v>7</v>
      </c>
      <c r="F2" s="445"/>
      <c r="G2" s="445"/>
      <c r="H2" s="445"/>
      <c r="I2" s="445"/>
      <c r="J2" s="445"/>
    </row>
    <row r="4" spans="2:13" ht="12.75" customHeight="1">
      <c r="J4" s="209"/>
    </row>
    <row r="5" spans="2:13" ht="13.5" customHeight="1">
      <c r="F5" s="209" t="s">
        <v>39</v>
      </c>
      <c r="G5" s="446" t="str">
        <f>IF($J5="","",'2（収支報告書)'!$E$6)</f>
        <v/>
      </c>
      <c r="H5" s="450" t="s">
        <v>204</v>
      </c>
      <c r="I5" s="450"/>
      <c r="J5" s="456" t="str">
        <f>IF('17-1（所得細目表)'!$B9="","",'17-1（所得細目表)'!$B9)</f>
        <v/>
      </c>
      <c r="L5" s="209">
        <f>VLOOKUP($J5,'17-1（所得細目表)'!$B$9:$M$45,2,0)</f>
        <v>0</v>
      </c>
      <c r="M5" s="458" t="s">
        <v>207</v>
      </c>
    </row>
    <row r="6" spans="2:13">
      <c r="D6" s="273"/>
      <c r="K6" s="273"/>
    </row>
    <row r="7" spans="2:13">
      <c r="B7" s="437" t="s">
        <v>140</v>
      </c>
      <c r="C7" s="441" t="s">
        <v>99</v>
      </c>
      <c r="E7" s="437" t="s">
        <v>186</v>
      </c>
      <c r="F7" s="437" t="s">
        <v>187</v>
      </c>
      <c r="G7" s="447"/>
      <c r="H7" s="451"/>
      <c r="I7" s="447" t="s">
        <v>33</v>
      </c>
      <c r="J7" s="441" t="s">
        <v>60</v>
      </c>
      <c r="L7" s="437" t="s">
        <v>172</v>
      </c>
      <c r="M7" s="459"/>
    </row>
    <row r="8" spans="2:13">
      <c r="B8" s="438" t="s">
        <v>105</v>
      </c>
      <c r="C8" s="442" t="s">
        <v>3</v>
      </c>
      <c r="E8" s="438" t="s">
        <v>86</v>
      </c>
      <c r="F8" s="438" t="s">
        <v>208</v>
      </c>
      <c r="G8" s="448" t="s">
        <v>110</v>
      </c>
      <c r="H8" s="452" t="s">
        <v>210</v>
      </c>
      <c r="I8" s="455" t="s">
        <v>53</v>
      </c>
      <c r="J8" s="442" t="s">
        <v>192</v>
      </c>
      <c r="L8" s="438" t="s">
        <v>193</v>
      </c>
      <c r="M8" s="442" t="s">
        <v>189</v>
      </c>
    </row>
    <row r="9" spans="2:13">
      <c r="B9" s="439"/>
      <c r="C9" s="443" t="s">
        <v>195</v>
      </c>
      <c r="D9" s="444"/>
      <c r="E9" s="439" t="s">
        <v>196</v>
      </c>
      <c r="F9" s="439"/>
      <c r="G9" s="449" t="s">
        <v>69</v>
      </c>
      <c r="H9" s="453" t="s">
        <v>211</v>
      </c>
      <c r="I9" s="454" t="s">
        <v>199</v>
      </c>
      <c r="J9" s="443"/>
      <c r="K9" s="457"/>
      <c r="L9" s="439" t="s">
        <v>200</v>
      </c>
      <c r="M9" s="443" t="s">
        <v>201</v>
      </c>
    </row>
    <row r="10" spans="2:13" ht="30.75" customHeight="1">
      <c r="B10" s="390" t="str">
        <f>VLOOKUP($J5,'17-1（所得細目表)'!$B$9:$M$45,3,0)</f>
        <v/>
      </c>
      <c r="C10" s="390" t="str">
        <f>VLOOKUP($J5,'17-1（所得細目表)'!$B$9:$M$45,4,0)</f>
        <v/>
      </c>
      <c r="D10" s="390"/>
      <c r="E10" s="390" t="str">
        <f>VLOOKUP($J5,'17-1（所得細目表)'!$B$9:$M$45,5,0)</f>
        <v/>
      </c>
      <c r="F10" s="390" t="str">
        <f>VLOOKUP($J5,'17-1（所得細目表)'!$B$9:$M$45,6,0)</f>
        <v/>
      </c>
      <c r="G10" s="390">
        <f>VLOOKUP($J5,'17-1（所得細目表)'!$B$9:$M$45,7,0)</f>
        <v>0</v>
      </c>
      <c r="H10" s="390">
        <f>VLOOKUP($J5,'17-1（所得細目表)'!$B$9:$M$45,8,0)</f>
        <v>0</v>
      </c>
      <c r="I10" s="390" t="str">
        <f>VLOOKUP($J5,'17-1（所得細目表)'!$B$9:$M$45,9,0)</f>
        <v/>
      </c>
      <c r="J10" s="390" t="str">
        <f>VLOOKUP($J5,'17-1（所得細目表)'!$B$9:$M$45,10,0)</f>
        <v/>
      </c>
      <c r="K10" s="390"/>
      <c r="L10" s="390" t="str">
        <f>VLOOKUP($J5,'17-1（所得細目表)'!$B$9:$M$45,11,0)</f>
        <v/>
      </c>
      <c r="M10" s="390" t="str">
        <f>VLOOKUP($J5,'17-1（所得細目表)'!$B$9:$M$45,12,0)</f>
        <v/>
      </c>
    </row>
    <row r="12" spans="2:13">
      <c r="C12" s="1" t="s">
        <v>213</v>
      </c>
    </row>
    <row r="14" spans="2:13">
      <c r="B14" s="440"/>
      <c r="C14" s="440"/>
      <c r="D14" s="440"/>
      <c r="E14" s="440"/>
      <c r="F14" s="440"/>
      <c r="G14" s="440"/>
      <c r="H14" s="440"/>
      <c r="I14" s="440"/>
      <c r="J14" s="440"/>
      <c r="K14" s="440"/>
      <c r="L14" s="440"/>
      <c r="M14" s="440"/>
    </row>
    <row r="16" spans="2:13" ht="14.25">
      <c r="E16" s="445">
        <f>'2（収支報告書)'!$A$9</f>
        <v>7</v>
      </c>
      <c r="F16" s="445"/>
      <c r="G16" s="445"/>
      <c r="H16" s="445"/>
      <c r="I16" s="445"/>
      <c r="J16" s="445"/>
    </row>
    <row r="18" spans="2:13" ht="12.75" customHeight="1">
      <c r="J18" s="209"/>
    </row>
    <row r="19" spans="2:13" ht="13.5" customHeight="1">
      <c r="F19" s="209" t="s">
        <v>39</v>
      </c>
      <c r="G19" s="446" t="str">
        <f>IF($J19="","",'2（収支報告書)'!$E$6)</f>
        <v/>
      </c>
      <c r="H19" s="450" t="s">
        <v>204</v>
      </c>
      <c r="I19" s="450"/>
      <c r="J19" s="456" t="str">
        <f>IF('17-1（所得細目表)'!$B10="","",'17-1（所得細目表)'!$B10)</f>
        <v/>
      </c>
      <c r="L19" s="209">
        <f>VLOOKUP($J19,'17-1（所得細目表)'!$B$9:$M$45,2,0)</f>
        <v>0</v>
      </c>
      <c r="M19" s="458" t="s">
        <v>207</v>
      </c>
    </row>
    <row r="20" spans="2:13">
      <c r="D20" s="273"/>
      <c r="K20" s="273"/>
    </row>
    <row r="21" spans="2:13">
      <c r="B21" s="437" t="s">
        <v>140</v>
      </c>
      <c r="C21" s="441" t="s">
        <v>99</v>
      </c>
      <c r="E21" s="437" t="s">
        <v>186</v>
      </c>
      <c r="F21" s="437" t="s">
        <v>187</v>
      </c>
      <c r="G21" s="447"/>
      <c r="H21" s="451"/>
      <c r="I21" s="447" t="s">
        <v>33</v>
      </c>
      <c r="J21" s="441" t="s">
        <v>60</v>
      </c>
      <c r="L21" s="437" t="s">
        <v>172</v>
      </c>
      <c r="M21" s="459"/>
    </row>
    <row r="22" spans="2:13">
      <c r="B22" s="438" t="s">
        <v>105</v>
      </c>
      <c r="C22" s="442" t="s">
        <v>3</v>
      </c>
      <c r="E22" s="438" t="s">
        <v>86</v>
      </c>
      <c r="F22" s="438" t="s">
        <v>208</v>
      </c>
      <c r="G22" s="448" t="s">
        <v>110</v>
      </c>
      <c r="H22" s="452" t="s">
        <v>210</v>
      </c>
      <c r="I22" s="455" t="s">
        <v>53</v>
      </c>
      <c r="J22" s="442" t="s">
        <v>192</v>
      </c>
      <c r="L22" s="438" t="s">
        <v>193</v>
      </c>
      <c r="M22" s="442" t="s">
        <v>189</v>
      </c>
    </row>
    <row r="23" spans="2:13">
      <c r="B23" s="439"/>
      <c r="C23" s="443" t="s">
        <v>195</v>
      </c>
      <c r="D23" s="444"/>
      <c r="E23" s="439" t="s">
        <v>196</v>
      </c>
      <c r="F23" s="439"/>
      <c r="G23" s="449" t="s">
        <v>69</v>
      </c>
      <c r="H23" s="453" t="s">
        <v>211</v>
      </c>
      <c r="I23" s="454" t="s">
        <v>199</v>
      </c>
      <c r="J23" s="443"/>
      <c r="K23" s="457"/>
      <c r="L23" s="439" t="s">
        <v>200</v>
      </c>
      <c r="M23" s="443" t="s">
        <v>201</v>
      </c>
    </row>
    <row r="24" spans="2:13" ht="30.75" customHeight="1">
      <c r="B24" s="390" t="str">
        <f>VLOOKUP($J19,'17-1（所得細目表)'!$B$9:$M$45,3,0)</f>
        <v/>
      </c>
      <c r="C24" s="390" t="str">
        <f>VLOOKUP($J19,'17-1（所得細目表)'!$B$9:$M$45,4,0)</f>
        <v/>
      </c>
      <c r="D24" s="390"/>
      <c r="E24" s="390" t="str">
        <f>VLOOKUP($J19,'17-1（所得細目表)'!$B$9:$M$45,5,0)</f>
        <v/>
      </c>
      <c r="F24" s="390" t="str">
        <f>VLOOKUP($J19,'17-1（所得細目表)'!$B$9:$M$45,6,0)</f>
        <v/>
      </c>
      <c r="G24" s="390">
        <f>VLOOKUP($J19,'17-1（所得細目表)'!$B$9:$M$45,7,0)</f>
        <v>0</v>
      </c>
      <c r="H24" s="390">
        <f>VLOOKUP($J19,'17-1（所得細目表)'!$B$9:$M$45,8,0)</f>
        <v>0</v>
      </c>
      <c r="I24" s="390" t="str">
        <f>VLOOKUP($J19,'17-1（所得細目表)'!$B$9:$M$45,9,0)</f>
        <v/>
      </c>
      <c r="J24" s="390" t="str">
        <f>VLOOKUP($J19,'17-1（所得細目表)'!$B$9:$M$45,10,0)</f>
        <v/>
      </c>
      <c r="K24" s="390"/>
      <c r="L24" s="390" t="str">
        <f>VLOOKUP($J19,'17-1（所得細目表)'!$B$9:$M$45,11,0)</f>
        <v/>
      </c>
      <c r="M24" s="390" t="str">
        <f>VLOOKUP($J19,'17-1（所得細目表)'!$B$9:$M$45,12,0)</f>
        <v/>
      </c>
    </row>
    <row r="26" spans="2:13">
      <c r="C26" s="1" t="s">
        <v>213</v>
      </c>
    </row>
    <row r="28" spans="2:13">
      <c r="B28" s="440"/>
      <c r="C28" s="440"/>
      <c r="D28" s="440"/>
      <c r="E28" s="440"/>
      <c r="F28" s="440"/>
      <c r="G28" s="440"/>
      <c r="H28" s="440"/>
      <c r="I28" s="440"/>
      <c r="J28" s="440"/>
      <c r="K28" s="440"/>
      <c r="L28" s="440"/>
      <c r="M28" s="440"/>
    </row>
    <row r="30" spans="2:13" ht="14.25">
      <c r="E30" s="445">
        <f>'2（収支報告書)'!$A$9</f>
        <v>7</v>
      </c>
      <c r="F30" s="445"/>
      <c r="G30" s="445"/>
      <c r="H30" s="445"/>
      <c r="I30" s="445"/>
      <c r="J30" s="445"/>
    </row>
    <row r="32" spans="2:13" ht="12.75" customHeight="1">
      <c r="J32" s="209"/>
    </row>
    <row r="33" spans="2:13" ht="13.5" customHeight="1">
      <c r="F33" s="209" t="s">
        <v>39</v>
      </c>
      <c r="G33" s="446" t="str">
        <f>IF($J33="","",'2（収支報告書)'!$E$6)</f>
        <v/>
      </c>
      <c r="H33" s="450" t="s">
        <v>204</v>
      </c>
      <c r="I33" s="450"/>
      <c r="J33" s="456" t="str">
        <f>IF('17-1（所得細目表)'!$B11="","",'17-1（所得細目表)'!$B11)</f>
        <v/>
      </c>
      <c r="L33" s="209">
        <f>VLOOKUP($J33,'17-1（所得細目表)'!$B$9:$M$45,2,0)</f>
        <v>0</v>
      </c>
      <c r="M33" s="458" t="s">
        <v>207</v>
      </c>
    </row>
    <row r="34" spans="2:13">
      <c r="D34" s="273"/>
      <c r="K34" s="273"/>
    </row>
    <row r="35" spans="2:13">
      <c r="B35" s="437" t="s">
        <v>140</v>
      </c>
      <c r="C35" s="441" t="s">
        <v>99</v>
      </c>
      <c r="E35" s="437" t="s">
        <v>186</v>
      </c>
      <c r="F35" s="437" t="s">
        <v>187</v>
      </c>
      <c r="G35" s="447"/>
      <c r="H35" s="451"/>
      <c r="I35" s="447" t="s">
        <v>33</v>
      </c>
      <c r="J35" s="441" t="s">
        <v>60</v>
      </c>
      <c r="L35" s="437" t="s">
        <v>172</v>
      </c>
      <c r="M35" s="459"/>
    </row>
    <row r="36" spans="2:13">
      <c r="B36" s="438" t="s">
        <v>105</v>
      </c>
      <c r="C36" s="442" t="s">
        <v>3</v>
      </c>
      <c r="E36" s="438" t="s">
        <v>86</v>
      </c>
      <c r="F36" s="438" t="s">
        <v>208</v>
      </c>
      <c r="G36" s="448" t="s">
        <v>110</v>
      </c>
      <c r="H36" s="452" t="s">
        <v>210</v>
      </c>
      <c r="I36" s="455" t="s">
        <v>53</v>
      </c>
      <c r="J36" s="442" t="s">
        <v>192</v>
      </c>
      <c r="L36" s="438" t="s">
        <v>193</v>
      </c>
      <c r="M36" s="442" t="s">
        <v>189</v>
      </c>
    </row>
    <row r="37" spans="2:13">
      <c r="B37" s="439"/>
      <c r="C37" s="443" t="s">
        <v>195</v>
      </c>
      <c r="D37" s="444"/>
      <c r="E37" s="439" t="s">
        <v>196</v>
      </c>
      <c r="F37" s="439"/>
      <c r="G37" s="449" t="s">
        <v>69</v>
      </c>
      <c r="H37" s="453" t="s">
        <v>211</v>
      </c>
      <c r="I37" s="454" t="s">
        <v>199</v>
      </c>
      <c r="J37" s="443"/>
      <c r="K37" s="457"/>
      <c r="L37" s="439" t="s">
        <v>200</v>
      </c>
      <c r="M37" s="443" t="s">
        <v>201</v>
      </c>
    </row>
    <row r="38" spans="2:13" ht="30.75" customHeight="1">
      <c r="B38" s="390" t="str">
        <f>VLOOKUP($J33,'17-1（所得細目表)'!$B$9:$M$45,3,0)</f>
        <v/>
      </c>
      <c r="C38" s="390" t="str">
        <f>VLOOKUP($J33,'17-1（所得細目表)'!$B$9:$M$45,4,0)</f>
        <v/>
      </c>
      <c r="D38" s="390"/>
      <c r="E38" s="390" t="str">
        <f>VLOOKUP($J33,'17-1（所得細目表)'!$B$9:$M$45,5,0)</f>
        <v/>
      </c>
      <c r="F38" s="390" t="str">
        <f>VLOOKUP($J33,'17-1（所得細目表)'!$B$9:$M$45,6,0)</f>
        <v/>
      </c>
      <c r="G38" s="390">
        <f>VLOOKUP($J33,'17-1（所得細目表)'!$B$9:$M$45,7,0)</f>
        <v>0</v>
      </c>
      <c r="H38" s="390">
        <f>VLOOKUP($J33,'17-1（所得細目表)'!$B$9:$M$45,8,0)</f>
        <v>0</v>
      </c>
      <c r="I38" s="390" t="str">
        <f>VLOOKUP($J33,'17-1（所得細目表)'!$B$9:$M$45,9,0)</f>
        <v/>
      </c>
      <c r="J38" s="390" t="str">
        <f>VLOOKUP($J33,'17-1（所得細目表)'!$B$9:$M$45,10,0)</f>
        <v/>
      </c>
      <c r="K38" s="390"/>
      <c r="L38" s="390" t="str">
        <f>VLOOKUP($J33,'17-1（所得細目表)'!$B$9:$M$45,11,0)</f>
        <v/>
      </c>
      <c r="M38" s="390" t="str">
        <f>VLOOKUP($J33,'17-1（所得細目表)'!$B$9:$M$45,12,0)</f>
        <v/>
      </c>
    </row>
    <row r="40" spans="2:13">
      <c r="C40" s="1" t="s">
        <v>213</v>
      </c>
    </row>
    <row r="42" spans="2:13">
      <c r="B42" s="440"/>
      <c r="C42" s="440"/>
      <c r="D42" s="440"/>
      <c r="E42" s="440"/>
      <c r="F42" s="440"/>
      <c r="G42" s="440"/>
      <c r="H42" s="440"/>
      <c r="I42" s="440"/>
      <c r="J42" s="440"/>
      <c r="K42" s="440"/>
      <c r="L42" s="440"/>
      <c r="M42" s="440"/>
    </row>
    <row r="44" spans="2:13" ht="14.25">
      <c r="E44" s="445">
        <f>'2（収支報告書)'!$A$9</f>
        <v>7</v>
      </c>
      <c r="F44" s="445"/>
      <c r="G44" s="445"/>
      <c r="H44" s="445"/>
      <c r="I44" s="445"/>
      <c r="J44" s="445"/>
    </row>
    <row r="46" spans="2:13" ht="12.75" customHeight="1">
      <c r="J46" s="209"/>
    </row>
    <row r="47" spans="2:13" ht="13.5" customHeight="1">
      <c r="F47" s="209" t="s">
        <v>39</v>
      </c>
      <c r="G47" s="446" t="str">
        <f>IF($J47="","",'2（収支報告書)'!$E$6)</f>
        <v/>
      </c>
      <c r="H47" s="450" t="s">
        <v>204</v>
      </c>
      <c r="I47" s="450"/>
      <c r="J47" s="456" t="str">
        <f>IF('17-1（所得細目表)'!$B12="","",'17-1（所得細目表)'!$B12)</f>
        <v/>
      </c>
      <c r="L47" s="209">
        <f>VLOOKUP($J47,'17-1（所得細目表)'!$B$9:$M$45,2,0)</f>
        <v>0</v>
      </c>
      <c r="M47" s="458" t="s">
        <v>207</v>
      </c>
    </row>
    <row r="48" spans="2:13">
      <c r="D48" s="273"/>
      <c r="K48" s="273"/>
    </row>
    <row r="49" spans="2:13">
      <c r="B49" s="437" t="s">
        <v>140</v>
      </c>
      <c r="C49" s="441" t="s">
        <v>99</v>
      </c>
      <c r="E49" s="437" t="s">
        <v>186</v>
      </c>
      <c r="F49" s="437" t="s">
        <v>187</v>
      </c>
      <c r="G49" s="447"/>
      <c r="H49" s="451"/>
      <c r="I49" s="447" t="s">
        <v>33</v>
      </c>
      <c r="J49" s="441" t="s">
        <v>60</v>
      </c>
      <c r="L49" s="437" t="s">
        <v>172</v>
      </c>
      <c r="M49" s="459"/>
    </row>
    <row r="50" spans="2:13">
      <c r="B50" s="438" t="s">
        <v>105</v>
      </c>
      <c r="C50" s="442" t="s">
        <v>3</v>
      </c>
      <c r="E50" s="438" t="s">
        <v>86</v>
      </c>
      <c r="F50" s="438" t="s">
        <v>208</v>
      </c>
      <c r="G50" s="448" t="s">
        <v>110</v>
      </c>
      <c r="H50" s="452" t="s">
        <v>210</v>
      </c>
      <c r="I50" s="455" t="s">
        <v>53</v>
      </c>
      <c r="J50" s="442" t="s">
        <v>192</v>
      </c>
      <c r="L50" s="438" t="s">
        <v>193</v>
      </c>
      <c r="M50" s="442" t="s">
        <v>189</v>
      </c>
    </row>
    <row r="51" spans="2:13">
      <c r="B51" s="439"/>
      <c r="C51" s="443" t="s">
        <v>195</v>
      </c>
      <c r="D51" s="444"/>
      <c r="E51" s="439" t="s">
        <v>196</v>
      </c>
      <c r="F51" s="439"/>
      <c r="G51" s="449" t="s">
        <v>69</v>
      </c>
      <c r="H51" s="453" t="s">
        <v>211</v>
      </c>
      <c r="I51" s="454" t="s">
        <v>199</v>
      </c>
      <c r="J51" s="443"/>
      <c r="K51" s="457"/>
      <c r="L51" s="439" t="s">
        <v>200</v>
      </c>
      <c r="M51" s="443" t="s">
        <v>201</v>
      </c>
    </row>
    <row r="52" spans="2:13" ht="30.75" customHeight="1">
      <c r="B52" s="390" t="str">
        <f>VLOOKUP($J47,'17-1（所得細目表)'!$B$9:$M$45,3,0)</f>
        <v/>
      </c>
      <c r="C52" s="390" t="str">
        <f>VLOOKUP($J47,'17-1（所得細目表)'!$B$9:$M$45,4,0)</f>
        <v/>
      </c>
      <c r="D52" s="390"/>
      <c r="E52" s="390" t="str">
        <f>VLOOKUP($J47,'17-1（所得細目表)'!$B$9:$M$45,5,0)</f>
        <v/>
      </c>
      <c r="F52" s="390" t="str">
        <f>VLOOKUP($J47,'17-1（所得細目表)'!$B$9:$M$45,6,0)</f>
        <v/>
      </c>
      <c r="G52" s="390">
        <f>VLOOKUP($J47,'17-1（所得細目表)'!$B$9:$M$45,7,0)</f>
        <v>0</v>
      </c>
      <c r="H52" s="390">
        <f>VLOOKUP($J47,'17-1（所得細目表)'!$B$9:$M$45,8,0)</f>
        <v>0</v>
      </c>
      <c r="I52" s="390" t="str">
        <f>VLOOKUP($J47,'17-1（所得細目表)'!$B$9:$M$45,9,0)</f>
        <v/>
      </c>
      <c r="J52" s="390" t="str">
        <f>VLOOKUP($J47,'17-1（所得細目表)'!$B$9:$M$45,10,0)</f>
        <v/>
      </c>
      <c r="K52" s="390"/>
      <c r="L52" s="390" t="str">
        <f>VLOOKUP($J47,'17-1（所得細目表)'!$B$9:$M$45,11,0)</f>
        <v/>
      </c>
      <c r="M52" s="390" t="str">
        <f>VLOOKUP($J47,'17-1（所得細目表)'!$B$9:$M$45,12,0)</f>
        <v/>
      </c>
    </row>
    <row r="54" spans="2:13">
      <c r="C54" s="1" t="s">
        <v>213</v>
      </c>
    </row>
    <row r="56" spans="2:13">
      <c r="B56" s="440"/>
      <c r="C56" s="440"/>
      <c r="D56" s="440"/>
      <c r="E56" s="440"/>
      <c r="F56" s="440"/>
      <c r="G56" s="440"/>
      <c r="H56" s="440"/>
      <c r="I56" s="440"/>
      <c r="J56" s="440"/>
      <c r="K56" s="440"/>
      <c r="L56" s="440"/>
      <c r="M56" s="440"/>
    </row>
    <row r="58" spans="2:13" ht="14.25">
      <c r="E58" s="445">
        <f>'2（収支報告書)'!$A$9</f>
        <v>7</v>
      </c>
      <c r="F58" s="445"/>
      <c r="G58" s="445"/>
      <c r="H58" s="445"/>
      <c r="I58" s="445"/>
      <c r="J58" s="445"/>
    </row>
    <row r="60" spans="2:13" ht="12.75" customHeight="1">
      <c r="J60" s="209"/>
    </row>
    <row r="61" spans="2:13" ht="13.5" customHeight="1">
      <c r="F61" s="209" t="s">
        <v>39</v>
      </c>
      <c r="G61" s="446" t="str">
        <f>IF($J61="","",'2（収支報告書)'!$E$6)</f>
        <v/>
      </c>
      <c r="H61" s="450" t="s">
        <v>204</v>
      </c>
      <c r="I61" s="450"/>
      <c r="J61" s="456" t="str">
        <f>IF('17-1（所得細目表)'!$B13="","",'17-1（所得細目表)'!$B13)</f>
        <v/>
      </c>
      <c r="L61" s="209">
        <f>VLOOKUP($J61,'17-1（所得細目表)'!$B$9:$M$45,2,0)</f>
        <v>0</v>
      </c>
      <c r="M61" s="458" t="s">
        <v>207</v>
      </c>
    </row>
    <row r="62" spans="2:13">
      <c r="D62" s="273"/>
      <c r="K62" s="273"/>
    </row>
    <row r="63" spans="2:13">
      <c r="B63" s="437" t="s">
        <v>140</v>
      </c>
      <c r="C63" s="441" t="s">
        <v>99</v>
      </c>
      <c r="E63" s="437" t="s">
        <v>186</v>
      </c>
      <c r="F63" s="437" t="s">
        <v>187</v>
      </c>
      <c r="G63" s="447"/>
      <c r="H63" s="451"/>
      <c r="I63" s="447" t="s">
        <v>33</v>
      </c>
      <c r="J63" s="441" t="s">
        <v>60</v>
      </c>
      <c r="L63" s="437" t="s">
        <v>172</v>
      </c>
      <c r="M63" s="459"/>
    </row>
    <row r="64" spans="2:13">
      <c r="B64" s="438" t="s">
        <v>105</v>
      </c>
      <c r="C64" s="442" t="s">
        <v>3</v>
      </c>
      <c r="E64" s="438" t="s">
        <v>86</v>
      </c>
      <c r="F64" s="438" t="s">
        <v>208</v>
      </c>
      <c r="G64" s="448" t="s">
        <v>110</v>
      </c>
      <c r="H64" s="452" t="s">
        <v>210</v>
      </c>
      <c r="I64" s="455" t="s">
        <v>53</v>
      </c>
      <c r="J64" s="442" t="s">
        <v>192</v>
      </c>
      <c r="L64" s="438" t="s">
        <v>193</v>
      </c>
      <c r="M64" s="442" t="s">
        <v>189</v>
      </c>
    </row>
    <row r="65" spans="2:13">
      <c r="B65" s="439"/>
      <c r="C65" s="443" t="s">
        <v>195</v>
      </c>
      <c r="D65" s="444"/>
      <c r="E65" s="439" t="s">
        <v>196</v>
      </c>
      <c r="F65" s="439"/>
      <c r="G65" s="449" t="s">
        <v>69</v>
      </c>
      <c r="H65" s="453" t="s">
        <v>211</v>
      </c>
      <c r="I65" s="454" t="s">
        <v>199</v>
      </c>
      <c r="J65" s="443"/>
      <c r="K65" s="457"/>
      <c r="L65" s="439" t="s">
        <v>200</v>
      </c>
      <c r="M65" s="443" t="s">
        <v>201</v>
      </c>
    </row>
    <row r="66" spans="2:13" ht="30.75" customHeight="1">
      <c r="B66" s="390" t="str">
        <f>VLOOKUP($J61,'17-1（所得細目表)'!$B$9:$M$45,3,0)</f>
        <v/>
      </c>
      <c r="C66" s="390" t="str">
        <f>VLOOKUP($J61,'17-1（所得細目表)'!$B$9:$M$45,4,0)</f>
        <v/>
      </c>
      <c r="D66" s="390"/>
      <c r="E66" s="390" t="str">
        <f>VLOOKUP($J61,'17-1（所得細目表)'!$B$9:$M$45,5,0)</f>
        <v/>
      </c>
      <c r="F66" s="390" t="str">
        <f>VLOOKUP($J61,'17-1（所得細目表)'!$B$9:$M$45,6,0)</f>
        <v/>
      </c>
      <c r="G66" s="390">
        <f>VLOOKUP($J61,'17-1（所得細目表)'!$B$9:$M$45,7,0)</f>
        <v>0</v>
      </c>
      <c r="H66" s="390">
        <f>VLOOKUP($J61,'17-1（所得細目表)'!$B$9:$M$45,8,0)</f>
        <v>0</v>
      </c>
      <c r="I66" s="390" t="str">
        <f>VLOOKUP($J61,'17-1（所得細目表)'!$B$9:$M$45,9,0)</f>
        <v/>
      </c>
      <c r="J66" s="390" t="str">
        <f>VLOOKUP($J61,'17-1（所得細目表)'!$B$9:$M$45,10,0)</f>
        <v/>
      </c>
      <c r="K66" s="390"/>
      <c r="L66" s="390" t="str">
        <f>VLOOKUP($J61,'17-1（所得細目表)'!$B$9:$M$45,11,0)</f>
        <v/>
      </c>
      <c r="M66" s="390" t="str">
        <f>VLOOKUP($J61,'17-1（所得細目表)'!$B$9:$M$45,12,0)</f>
        <v/>
      </c>
    </row>
    <row r="68" spans="2:13">
      <c r="C68" s="1" t="s">
        <v>213</v>
      </c>
    </row>
    <row r="70" spans="2:13">
      <c r="B70" s="440"/>
      <c r="C70" s="440"/>
      <c r="D70" s="440"/>
      <c r="E70" s="440"/>
      <c r="F70" s="440"/>
      <c r="G70" s="440"/>
      <c r="H70" s="440"/>
      <c r="I70" s="440"/>
      <c r="J70" s="440"/>
      <c r="K70" s="440"/>
      <c r="L70" s="440"/>
      <c r="M70" s="440"/>
    </row>
    <row r="72" spans="2:13" ht="14.25">
      <c r="E72" s="445">
        <f>'2（収支報告書)'!$A$9</f>
        <v>7</v>
      </c>
      <c r="F72" s="445"/>
      <c r="G72" s="445"/>
      <c r="H72" s="445"/>
      <c r="I72" s="445"/>
      <c r="J72" s="445"/>
    </row>
    <row r="74" spans="2:13" ht="12.75" customHeight="1">
      <c r="J74" s="209"/>
    </row>
    <row r="75" spans="2:13" ht="13.5" customHeight="1">
      <c r="F75" s="209" t="s">
        <v>39</v>
      </c>
      <c r="G75" s="446" t="str">
        <f>IF($J75="","",'2（収支報告書)'!$E$6)</f>
        <v/>
      </c>
      <c r="H75" s="450" t="s">
        <v>204</v>
      </c>
      <c r="I75" s="450"/>
      <c r="J75" s="456" t="str">
        <f>IF('17-1（所得細目表)'!$B14="","",'17-1（所得細目表)'!$B14)</f>
        <v/>
      </c>
      <c r="L75" s="209">
        <f>VLOOKUP($J75,'17-1（所得細目表)'!$B$9:$M$45,2,0)</f>
        <v>0</v>
      </c>
      <c r="M75" s="458" t="s">
        <v>207</v>
      </c>
    </row>
    <row r="76" spans="2:13">
      <c r="D76" s="273"/>
      <c r="K76" s="273"/>
    </row>
    <row r="77" spans="2:13">
      <c r="B77" s="437" t="s">
        <v>140</v>
      </c>
      <c r="C77" s="441" t="s">
        <v>99</v>
      </c>
      <c r="E77" s="437" t="s">
        <v>186</v>
      </c>
      <c r="F77" s="437" t="s">
        <v>187</v>
      </c>
      <c r="G77" s="447"/>
      <c r="H77" s="451"/>
      <c r="I77" s="447" t="s">
        <v>33</v>
      </c>
      <c r="J77" s="441" t="s">
        <v>60</v>
      </c>
      <c r="L77" s="437" t="s">
        <v>172</v>
      </c>
      <c r="M77" s="459"/>
    </row>
    <row r="78" spans="2:13">
      <c r="B78" s="438" t="s">
        <v>105</v>
      </c>
      <c r="C78" s="442" t="s">
        <v>3</v>
      </c>
      <c r="E78" s="438" t="s">
        <v>86</v>
      </c>
      <c r="F78" s="438" t="s">
        <v>208</v>
      </c>
      <c r="G78" s="448" t="s">
        <v>110</v>
      </c>
      <c r="H78" s="452" t="s">
        <v>210</v>
      </c>
      <c r="I78" s="455" t="s">
        <v>53</v>
      </c>
      <c r="J78" s="442" t="s">
        <v>192</v>
      </c>
      <c r="L78" s="438" t="s">
        <v>193</v>
      </c>
      <c r="M78" s="442" t="s">
        <v>189</v>
      </c>
    </row>
    <row r="79" spans="2:13">
      <c r="B79" s="439"/>
      <c r="C79" s="443" t="s">
        <v>195</v>
      </c>
      <c r="D79" s="444"/>
      <c r="E79" s="439" t="s">
        <v>196</v>
      </c>
      <c r="F79" s="439"/>
      <c r="G79" s="449" t="s">
        <v>69</v>
      </c>
      <c r="H79" s="453" t="s">
        <v>211</v>
      </c>
      <c r="I79" s="454" t="s">
        <v>199</v>
      </c>
      <c r="J79" s="443"/>
      <c r="K79" s="457"/>
      <c r="L79" s="439" t="s">
        <v>200</v>
      </c>
      <c r="M79" s="443" t="s">
        <v>201</v>
      </c>
    </row>
    <row r="80" spans="2:13" ht="30.75" customHeight="1">
      <c r="B80" s="390" t="str">
        <f>VLOOKUP($J75,'17-1（所得細目表)'!$B$9:$M$45,3,0)</f>
        <v/>
      </c>
      <c r="C80" s="390" t="str">
        <f>VLOOKUP($J75,'17-1（所得細目表)'!$B$9:$M$45,4,0)</f>
        <v/>
      </c>
      <c r="D80" s="390"/>
      <c r="E80" s="390" t="str">
        <f>VLOOKUP($J75,'17-1（所得細目表)'!$B$9:$M$45,5,0)</f>
        <v/>
      </c>
      <c r="F80" s="390" t="str">
        <f>VLOOKUP($J75,'17-1（所得細目表)'!$B$9:$M$45,6,0)</f>
        <v/>
      </c>
      <c r="G80" s="390">
        <f>VLOOKUP($J75,'17-1（所得細目表)'!$B$9:$M$45,7,0)</f>
        <v>0</v>
      </c>
      <c r="H80" s="390">
        <f>VLOOKUP($J75,'17-1（所得細目表)'!$B$9:$M$45,8,0)</f>
        <v>0</v>
      </c>
      <c r="I80" s="390" t="str">
        <f>VLOOKUP($J75,'17-1（所得細目表)'!$B$9:$M$45,9,0)</f>
        <v/>
      </c>
      <c r="J80" s="390" t="str">
        <f>VLOOKUP($J75,'17-1（所得細目表)'!$B$9:$M$45,10,0)</f>
        <v/>
      </c>
      <c r="K80" s="390"/>
      <c r="L80" s="390" t="str">
        <f>VLOOKUP($J75,'17-1（所得細目表)'!$B$9:$M$45,11,0)</f>
        <v/>
      </c>
      <c r="M80" s="390" t="str">
        <f>VLOOKUP($J75,'17-1（所得細目表)'!$B$9:$M$45,12,0)</f>
        <v/>
      </c>
    </row>
    <row r="82" spans="2:13">
      <c r="C82" s="1" t="s">
        <v>213</v>
      </c>
    </row>
    <row r="84" spans="2:13">
      <c r="B84" s="440"/>
      <c r="C84" s="440"/>
      <c r="D84" s="440"/>
      <c r="E84" s="440"/>
      <c r="F84" s="440"/>
      <c r="G84" s="440"/>
      <c r="H84" s="440"/>
      <c r="I84" s="440"/>
      <c r="J84" s="440"/>
      <c r="K84" s="440"/>
      <c r="L84" s="440"/>
      <c r="M84" s="440"/>
    </row>
    <row r="86" spans="2:13" ht="14.25">
      <c r="E86" s="445">
        <f>'2（収支報告書)'!$A$9</f>
        <v>7</v>
      </c>
      <c r="F86" s="445"/>
      <c r="G86" s="445"/>
      <c r="H86" s="445"/>
      <c r="I86" s="445"/>
      <c r="J86" s="445"/>
    </row>
    <row r="88" spans="2:13" ht="12.75" customHeight="1">
      <c r="J88" s="209"/>
    </row>
    <row r="89" spans="2:13" ht="13.5" customHeight="1">
      <c r="F89" s="209" t="s">
        <v>39</v>
      </c>
      <c r="G89" s="446" t="str">
        <f>IF($J89="","",'2（収支報告書)'!$E$6)</f>
        <v/>
      </c>
      <c r="H89" s="450" t="s">
        <v>204</v>
      </c>
      <c r="I89" s="450"/>
      <c r="J89" s="456" t="str">
        <f>IF('17-1（所得細目表)'!$B15="","",'17-1（所得細目表)'!$B15)</f>
        <v/>
      </c>
      <c r="L89" s="209">
        <f>VLOOKUP($J89,'17-1（所得細目表)'!$B$9:$M$45,2,0)</f>
        <v>0</v>
      </c>
      <c r="M89" s="458" t="s">
        <v>207</v>
      </c>
    </row>
    <row r="90" spans="2:13">
      <c r="D90" s="273"/>
      <c r="K90" s="273"/>
    </row>
    <row r="91" spans="2:13">
      <c r="B91" s="437" t="s">
        <v>140</v>
      </c>
      <c r="C91" s="441" t="s">
        <v>99</v>
      </c>
      <c r="E91" s="437" t="s">
        <v>186</v>
      </c>
      <c r="F91" s="437" t="s">
        <v>187</v>
      </c>
      <c r="G91" s="447"/>
      <c r="H91" s="451"/>
      <c r="I91" s="447" t="s">
        <v>33</v>
      </c>
      <c r="J91" s="441" t="s">
        <v>60</v>
      </c>
      <c r="L91" s="437" t="s">
        <v>172</v>
      </c>
      <c r="M91" s="459"/>
    </row>
    <row r="92" spans="2:13">
      <c r="B92" s="438" t="s">
        <v>105</v>
      </c>
      <c r="C92" s="442" t="s">
        <v>3</v>
      </c>
      <c r="E92" s="438" t="s">
        <v>86</v>
      </c>
      <c r="F92" s="438" t="s">
        <v>208</v>
      </c>
      <c r="G92" s="448" t="s">
        <v>110</v>
      </c>
      <c r="H92" s="452" t="s">
        <v>210</v>
      </c>
      <c r="I92" s="455" t="s">
        <v>53</v>
      </c>
      <c r="J92" s="442" t="s">
        <v>192</v>
      </c>
      <c r="L92" s="438" t="s">
        <v>193</v>
      </c>
      <c r="M92" s="442" t="s">
        <v>189</v>
      </c>
    </row>
    <row r="93" spans="2:13">
      <c r="B93" s="439"/>
      <c r="C93" s="443" t="s">
        <v>195</v>
      </c>
      <c r="D93" s="444"/>
      <c r="E93" s="439" t="s">
        <v>196</v>
      </c>
      <c r="F93" s="439"/>
      <c r="G93" s="449" t="s">
        <v>69</v>
      </c>
      <c r="H93" s="453" t="s">
        <v>211</v>
      </c>
      <c r="I93" s="454" t="s">
        <v>199</v>
      </c>
      <c r="J93" s="443"/>
      <c r="K93" s="457"/>
      <c r="L93" s="439" t="s">
        <v>200</v>
      </c>
      <c r="M93" s="443" t="s">
        <v>201</v>
      </c>
    </row>
    <row r="94" spans="2:13" ht="30.75" customHeight="1">
      <c r="B94" s="390" t="str">
        <f>VLOOKUP($J89,'17-1（所得細目表)'!$B$9:$M$45,3,0)</f>
        <v/>
      </c>
      <c r="C94" s="390" t="str">
        <f>VLOOKUP($J89,'17-1（所得細目表)'!$B$9:$M$45,4,0)</f>
        <v/>
      </c>
      <c r="D94" s="390"/>
      <c r="E94" s="390" t="str">
        <f>VLOOKUP($J89,'17-1（所得細目表)'!$B$9:$M$45,5,0)</f>
        <v/>
      </c>
      <c r="F94" s="390" t="str">
        <f>VLOOKUP($J89,'17-1（所得細目表)'!$B$9:$M$45,6,0)</f>
        <v/>
      </c>
      <c r="G94" s="390">
        <f>VLOOKUP($J89,'17-1（所得細目表)'!$B$9:$M$45,7,0)</f>
        <v>0</v>
      </c>
      <c r="H94" s="390">
        <f>VLOOKUP($J89,'17-1（所得細目表)'!$B$9:$M$45,8,0)</f>
        <v>0</v>
      </c>
      <c r="I94" s="390" t="str">
        <f>VLOOKUP($J89,'17-1（所得細目表)'!$B$9:$M$45,9,0)</f>
        <v/>
      </c>
      <c r="J94" s="390" t="str">
        <f>VLOOKUP($J89,'17-1（所得細目表)'!$B$9:$M$45,10,0)</f>
        <v/>
      </c>
      <c r="K94" s="390"/>
      <c r="L94" s="390" t="str">
        <f>VLOOKUP($J89,'17-1（所得細目表)'!$B$9:$M$45,11,0)</f>
        <v/>
      </c>
      <c r="M94" s="390" t="str">
        <f>VLOOKUP($J89,'17-1（所得細目表)'!$B$9:$M$45,12,0)</f>
        <v/>
      </c>
    </row>
    <row r="96" spans="2:13">
      <c r="C96" s="1" t="s">
        <v>213</v>
      </c>
    </row>
    <row r="98" spans="2:13">
      <c r="B98" s="440"/>
      <c r="C98" s="440"/>
      <c r="D98" s="440"/>
      <c r="E98" s="440"/>
      <c r="F98" s="440"/>
      <c r="G98" s="440"/>
      <c r="H98" s="440"/>
      <c r="I98" s="440"/>
      <c r="J98" s="440"/>
      <c r="K98" s="440"/>
      <c r="L98" s="440"/>
      <c r="M98" s="440"/>
    </row>
    <row r="100" spans="2:13" ht="14.25">
      <c r="E100" s="445">
        <f>'2（収支報告書)'!$A$9</f>
        <v>7</v>
      </c>
      <c r="F100" s="445"/>
      <c r="G100" s="445"/>
      <c r="H100" s="445"/>
      <c r="I100" s="445"/>
      <c r="J100" s="445"/>
    </row>
    <row r="102" spans="2:13" ht="12.75" customHeight="1">
      <c r="J102" s="209"/>
    </row>
    <row r="103" spans="2:13" ht="13.5" customHeight="1">
      <c r="F103" s="209" t="s">
        <v>39</v>
      </c>
      <c r="G103" s="446" t="str">
        <f>IF($J103="","",'2（収支報告書)'!$E$6)</f>
        <v/>
      </c>
      <c r="H103" s="450" t="s">
        <v>204</v>
      </c>
      <c r="I103" s="450"/>
      <c r="J103" s="456" t="str">
        <f>IF('17-1（所得細目表)'!$B16="","",'17-1（所得細目表)'!$B16)</f>
        <v/>
      </c>
      <c r="L103" s="209">
        <f>VLOOKUP($J103,'17-1（所得細目表)'!$B$9:$M$45,2,0)</f>
        <v>0</v>
      </c>
      <c r="M103" s="458" t="s">
        <v>207</v>
      </c>
    </row>
    <row r="104" spans="2:13">
      <c r="D104" s="273"/>
      <c r="K104" s="273"/>
    </row>
    <row r="105" spans="2:13">
      <c r="B105" s="437" t="s">
        <v>140</v>
      </c>
      <c r="C105" s="441" t="s">
        <v>99</v>
      </c>
      <c r="E105" s="437" t="s">
        <v>186</v>
      </c>
      <c r="F105" s="437" t="s">
        <v>187</v>
      </c>
      <c r="G105" s="447"/>
      <c r="H105" s="451"/>
      <c r="I105" s="447" t="s">
        <v>33</v>
      </c>
      <c r="J105" s="441" t="s">
        <v>60</v>
      </c>
      <c r="L105" s="437" t="s">
        <v>172</v>
      </c>
      <c r="M105" s="459"/>
    </row>
    <row r="106" spans="2:13">
      <c r="B106" s="438" t="s">
        <v>105</v>
      </c>
      <c r="C106" s="442" t="s">
        <v>3</v>
      </c>
      <c r="E106" s="438" t="s">
        <v>86</v>
      </c>
      <c r="F106" s="438" t="s">
        <v>208</v>
      </c>
      <c r="G106" s="448" t="s">
        <v>110</v>
      </c>
      <c r="H106" s="452" t="s">
        <v>210</v>
      </c>
      <c r="I106" s="455" t="s">
        <v>53</v>
      </c>
      <c r="J106" s="442" t="s">
        <v>192</v>
      </c>
      <c r="L106" s="438" t="s">
        <v>193</v>
      </c>
      <c r="M106" s="442" t="s">
        <v>189</v>
      </c>
    </row>
    <row r="107" spans="2:13">
      <c r="B107" s="439"/>
      <c r="C107" s="443" t="s">
        <v>195</v>
      </c>
      <c r="D107" s="444"/>
      <c r="E107" s="439" t="s">
        <v>196</v>
      </c>
      <c r="F107" s="439"/>
      <c r="G107" s="449" t="s">
        <v>69</v>
      </c>
      <c r="H107" s="453" t="s">
        <v>211</v>
      </c>
      <c r="I107" s="454" t="s">
        <v>199</v>
      </c>
      <c r="J107" s="443"/>
      <c r="K107" s="457"/>
      <c r="L107" s="439" t="s">
        <v>200</v>
      </c>
      <c r="M107" s="443" t="s">
        <v>201</v>
      </c>
    </row>
    <row r="108" spans="2:13" ht="30.75" customHeight="1">
      <c r="B108" s="390" t="str">
        <f>VLOOKUP($J103,'17-1（所得細目表)'!$B$9:$M$45,3,0)</f>
        <v/>
      </c>
      <c r="C108" s="390" t="str">
        <f>VLOOKUP($J103,'17-1（所得細目表)'!$B$9:$M$45,4,0)</f>
        <v/>
      </c>
      <c r="D108" s="390"/>
      <c r="E108" s="390" t="str">
        <f>VLOOKUP($J103,'17-1（所得細目表)'!$B$9:$M$45,5,0)</f>
        <v/>
      </c>
      <c r="F108" s="390" t="str">
        <f>VLOOKUP($J103,'17-1（所得細目表)'!$B$9:$M$45,6,0)</f>
        <v/>
      </c>
      <c r="G108" s="390">
        <f>VLOOKUP($J103,'17-1（所得細目表)'!$B$9:$M$45,7,0)</f>
        <v>0</v>
      </c>
      <c r="H108" s="390">
        <f>VLOOKUP($J103,'17-1（所得細目表)'!$B$9:$M$45,8,0)</f>
        <v>0</v>
      </c>
      <c r="I108" s="390" t="str">
        <f>VLOOKUP($J103,'17-1（所得細目表)'!$B$9:$M$45,9,0)</f>
        <v/>
      </c>
      <c r="J108" s="390" t="str">
        <f>VLOOKUP($J103,'17-1（所得細目表)'!$B$9:$M$45,10,0)</f>
        <v/>
      </c>
      <c r="K108" s="390"/>
      <c r="L108" s="390" t="str">
        <f>VLOOKUP($J103,'17-1（所得細目表)'!$B$9:$M$45,11,0)</f>
        <v/>
      </c>
      <c r="M108" s="390" t="str">
        <f>VLOOKUP($J103,'17-1（所得細目表)'!$B$9:$M$45,12,0)</f>
        <v/>
      </c>
    </row>
    <row r="110" spans="2:13">
      <c r="C110" s="1" t="s">
        <v>213</v>
      </c>
    </row>
    <row r="112" spans="2:13">
      <c r="B112" s="440"/>
      <c r="C112" s="440"/>
      <c r="D112" s="440"/>
      <c r="E112" s="440"/>
      <c r="F112" s="440"/>
      <c r="G112" s="440"/>
      <c r="H112" s="440"/>
      <c r="I112" s="440"/>
      <c r="J112" s="440"/>
      <c r="K112" s="440"/>
      <c r="L112" s="440"/>
      <c r="M112" s="440"/>
    </row>
    <row r="114" spans="2:13" ht="14.25">
      <c r="E114" s="445">
        <f>'2（収支報告書)'!$A$9</f>
        <v>7</v>
      </c>
      <c r="F114" s="445"/>
      <c r="G114" s="445"/>
      <c r="H114" s="445"/>
      <c r="I114" s="445"/>
      <c r="J114" s="445"/>
    </row>
    <row r="116" spans="2:13" ht="12.75" customHeight="1">
      <c r="J116" s="209"/>
    </row>
    <row r="117" spans="2:13" ht="13.5" customHeight="1">
      <c r="F117" s="209" t="s">
        <v>39</v>
      </c>
      <c r="G117" s="446" t="str">
        <f>IF($J117="","",'2（収支報告書)'!$E$6)</f>
        <v/>
      </c>
      <c r="H117" s="450" t="s">
        <v>204</v>
      </c>
      <c r="I117" s="450"/>
      <c r="J117" s="456" t="str">
        <f>IF('17-1（所得細目表)'!$B17="","",'17-1（所得細目表)'!$B17)</f>
        <v/>
      </c>
      <c r="L117" s="209">
        <f>VLOOKUP($J117,'17-1（所得細目表)'!$B$9:$M$45,2,0)</f>
        <v>0</v>
      </c>
      <c r="M117" s="458" t="s">
        <v>207</v>
      </c>
    </row>
    <row r="118" spans="2:13">
      <c r="D118" s="273"/>
      <c r="K118" s="273"/>
    </row>
    <row r="119" spans="2:13">
      <c r="B119" s="437" t="s">
        <v>140</v>
      </c>
      <c r="C119" s="441" t="s">
        <v>99</v>
      </c>
      <c r="E119" s="437" t="s">
        <v>186</v>
      </c>
      <c r="F119" s="437" t="s">
        <v>187</v>
      </c>
      <c r="G119" s="447"/>
      <c r="H119" s="451"/>
      <c r="I119" s="447" t="s">
        <v>33</v>
      </c>
      <c r="J119" s="441" t="s">
        <v>60</v>
      </c>
      <c r="L119" s="437" t="s">
        <v>172</v>
      </c>
      <c r="M119" s="459"/>
    </row>
    <row r="120" spans="2:13">
      <c r="B120" s="438" t="s">
        <v>105</v>
      </c>
      <c r="C120" s="442" t="s">
        <v>3</v>
      </c>
      <c r="E120" s="438" t="s">
        <v>86</v>
      </c>
      <c r="F120" s="438" t="s">
        <v>208</v>
      </c>
      <c r="G120" s="448" t="s">
        <v>110</v>
      </c>
      <c r="H120" s="452" t="s">
        <v>210</v>
      </c>
      <c r="I120" s="455" t="s">
        <v>53</v>
      </c>
      <c r="J120" s="442" t="s">
        <v>192</v>
      </c>
      <c r="L120" s="438" t="s">
        <v>193</v>
      </c>
      <c r="M120" s="442" t="s">
        <v>189</v>
      </c>
    </row>
    <row r="121" spans="2:13">
      <c r="B121" s="439"/>
      <c r="C121" s="443" t="s">
        <v>195</v>
      </c>
      <c r="D121" s="444"/>
      <c r="E121" s="439" t="s">
        <v>196</v>
      </c>
      <c r="F121" s="439"/>
      <c r="G121" s="449" t="s">
        <v>69</v>
      </c>
      <c r="H121" s="453" t="s">
        <v>211</v>
      </c>
      <c r="I121" s="454" t="s">
        <v>199</v>
      </c>
      <c r="J121" s="443"/>
      <c r="K121" s="457"/>
      <c r="L121" s="439" t="s">
        <v>200</v>
      </c>
      <c r="M121" s="443" t="s">
        <v>201</v>
      </c>
    </row>
    <row r="122" spans="2:13" ht="30.75" customHeight="1">
      <c r="B122" s="390" t="str">
        <f>VLOOKUP($J117,'17-1（所得細目表)'!$B$9:$M$45,3,0)</f>
        <v/>
      </c>
      <c r="C122" s="390" t="str">
        <f>VLOOKUP($J117,'17-1（所得細目表)'!$B$9:$M$45,4,0)</f>
        <v/>
      </c>
      <c r="D122" s="390"/>
      <c r="E122" s="390" t="str">
        <f>VLOOKUP($J117,'17-1（所得細目表)'!$B$9:$M$45,5,0)</f>
        <v/>
      </c>
      <c r="F122" s="390" t="str">
        <f>VLOOKUP($J117,'17-1（所得細目表)'!$B$9:$M$45,6,0)</f>
        <v/>
      </c>
      <c r="G122" s="390">
        <f>VLOOKUP($J117,'17-1（所得細目表)'!$B$9:$M$45,7,0)</f>
        <v>0</v>
      </c>
      <c r="H122" s="390">
        <f>VLOOKUP($J117,'17-1（所得細目表)'!$B$9:$M$45,8,0)</f>
        <v>0</v>
      </c>
      <c r="I122" s="390" t="str">
        <f>VLOOKUP($J117,'17-1（所得細目表)'!$B$9:$M$45,9,0)</f>
        <v/>
      </c>
      <c r="J122" s="390" t="str">
        <f>VLOOKUP($J117,'17-1（所得細目表)'!$B$9:$M$45,10,0)</f>
        <v/>
      </c>
      <c r="K122" s="390"/>
      <c r="L122" s="390" t="str">
        <f>VLOOKUP($J117,'17-1（所得細目表)'!$B$9:$M$45,11,0)</f>
        <v/>
      </c>
      <c r="M122" s="390" t="str">
        <f>VLOOKUP($J117,'17-1（所得細目表)'!$B$9:$M$45,12,0)</f>
        <v/>
      </c>
    </row>
    <row r="124" spans="2:13">
      <c r="C124" s="1" t="s">
        <v>213</v>
      </c>
    </row>
    <row r="126" spans="2:13">
      <c r="B126" s="440"/>
      <c r="C126" s="440"/>
      <c r="D126" s="440"/>
      <c r="E126" s="440"/>
      <c r="F126" s="440"/>
      <c r="G126" s="440"/>
      <c r="H126" s="440"/>
      <c r="I126" s="440"/>
      <c r="J126" s="440"/>
      <c r="K126" s="440"/>
      <c r="L126" s="440"/>
      <c r="M126" s="440"/>
    </row>
    <row r="128" spans="2:13" ht="14.25">
      <c r="E128" s="445">
        <f>'2（収支報告書)'!$A$9</f>
        <v>7</v>
      </c>
      <c r="F128" s="445"/>
      <c r="G128" s="445"/>
      <c r="H128" s="445"/>
      <c r="I128" s="445"/>
      <c r="J128" s="445"/>
    </row>
    <row r="130" spans="2:13" ht="12.75" customHeight="1">
      <c r="J130" s="209"/>
    </row>
    <row r="131" spans="2:13" ht="13.5" customHeight="1">
      <c r="F131" s="209" t="s">
        <v>39</v>
      </c>
      <c r="G131" s="446" t="str">
        <f>IF($J131="","",'2（収支報告書)'!$E$6)</f>
        <v/>
      </c>
      <c r="H131" s="450" t="s">
        <v>204</v>
      </c>
      <c r="I131" s="450"/>
      <c r="J131" s="456" t="str">
        <f>IF('17-1（所得細目表)'!$B18="","",'17-1（所得細目表)'!$B18)</f>
        <v/>
      </c>
      <c r="L131" s="209">
        <f>VLOOKUP($J131,'17-1（所得細目表)'!$B$9:$M$45,2,0)</f>
        <v>0</v>
      </c>
      <c r="M131" s="458" t="s">
        <v>207</v>
      </c>
    </row>
    <row r="132" spans="2:13">
      <c r="D132" s="273"/>
      <c r="K132" s="273"/>
    </row>
    <row r="133" spans="2:13">
      <c r="B133" s="437" t="s">
        <v>140</v>
      </c>
      <c r="C133" s="441" t="s">
        <v>99</v>
      </c>
      <c r="E133" s="437" t="s">
        <v>186</v>
      </c>
      <c r="F133" s="437" t="s">
        <v>187</v>
      </c>
      <c r="G133" s="447"/>
      <c r="H133" s="451"/>
      <c r="I133" s="447" t="s">
        <v>33</v>
      </c>
      <c r="J133" s="441" t="s">
        <v>60</v>
      </c>
      <c r="L133" s="437" t="s">
        <v>172</v>
      </c>
      <c r="M133" s="459"/>
    </row>
    <row r="134" spans="2:13">
      <c r="B134" s="438" t="s">
        <v>105</v>
      </c>
      <c r="C134" s="442" t="s">
        <v>3</v>
      </c>
      <c r="E134" s="438" t="s">
        <v>86</v>
      </c>
      <c r="F134" s="438" t="s">
        <v>208</v>
      </c>
      <c r="G134" s="448" t="s">
        <v>110</v>
      </c>
      <c r="H134" s="452" t="s">
        <v>210</v>
      </c>
      <c r="I134" s="455" t="s">
        <v>53</v>
      </c>
      <c r="J134" s="442" t="s">
        <v>192</v>
      </c>
      <c r="L134" s="438" t="s">
        <v>193</v>
      </c>
      <c r="M134" s="442" t="s">
        <v>189</v>
      </c>
    </row>
    <row r="135" spans="2:13">
      <c r="B135" s="439"/>
      <c r="C135" s="443" t="s">
        <v>195</v>
      </c>
      <c r="D135" s="444"/>
      <c r="E135" s="439" t="s">
        <v>196</v>
      </c>
      <c r="F135" s="439"/>
      <c r="G135" s="449" t="s">
        <v>69</v>
      </c>
      <c r="H135" s="453" t="s">
        <v>211</v>
      </c>
      <c r="I135" s="454" t="s">
        <v>199</v>
      </c>
      <c r="J135" s="443"/>
      <c r="K135" s="457"/>
      <c r="L135" s="439" t="s">
        <v>200</v>
      </c>
      <c r="M135" s="443" t="s">
        <v>201</v>
      </c>
    </row>
    <row r="136" spans="2:13" ht="30.75" customHeight="1">
      <c r="B136" s="390" t="str">
        <f>VLOOKUP($J131,'17-1（所得細目表)'!$B$9:$M$45,3,0)</f>
        <v/>
      </c>
      <c r="C136" s="390" t="str">
        <f>VLOOKUP($J131,'17-1（所得細目表)'!$B$9:$M$45,4,0)</f>
        <v/>
      </c>
      <c r="D136" s="390"/>
      <c r="E136" s="390" t="str">
        <f>VLOOKUP($J131,'17-1（所得細目表)'!$B$9:$M$45,5,0)</f>
        <v/>
      </c>
      <c r="F136" s="390" t="str">
        <f>VLOOKUP($J131,'17-1（所得細目表)'!$B$9:$M$45,6,0)</f>
        <v/>
      </c>
      <c r="G136" s="390">
        <f>VLOOKUP($J131,'17-1（所得細目表)'!$B$9:$M$45,7,0)</f>
        <v>0</v>
      </c>
      <c r="H136" s="390">
        <f>VLOOKUP($J131,'17-1（所得細目表)'!$B$9:$M$45,8,0)</f>
        <v>0</v>
      </c>
      <c r="I136" s="390" t="str">
        <f>VLOOKUP($J131,'17-1（所得細目表)'!$B$9:$M$45,9,0)</f>
        <v/>
      </c>
      <c r="J136" s="390" t="str">
        <f>VLOOKUP($J131,'17-1（所得細目表)'!$B$9:$M$45,10,0)</f>
        <v/>
      </c>
      <c r="K136" s="390"/>
      <c r="L136" s="390" t="str">
        <f>VLOOKUP($J131,'17-1（所得細目表)'!$B$9:$M$45,11,0)</f>
        <v/>
      </c>
      <c r="M136" s="390" t="str">
        <f>VLOOKUP($J131,'17-1（所得細目表)'!$B$9:$M$45,12,0)</f>
        <v/>
      </c>
    </row>
    <row r="138" spans="2:13">
      <c r="C138" s="1" t="s">
        <v>213</v>
      </c>
    </row>
    <row r="140" spans="2:13">
      <c r="B140" s="440"/>
      <c r="C140" s="440"/>
      <c r="D140" s="440"/>
      <c r="E140" s="440"/>
      <c r="F140" s="440"/>
      <c r="G140" s="440"/>
      <c r="H140" s="440"/>
      <c r="I140" s="440"/>
      <c r="J140" s="440"/>
      <c r="K140" s="440"/>
      <c r="L140" s="440"/>
      <c r="M140" s="440"/>
    </row>
    <row r="142" spans="2:13" ht="14.25">
      <c r="E142" s="445">
        <f>'2（収支報告書)'!$A$9</f>
        <v>7</v>
      </c>
      <c r="F142" s="445"/>
      <c r="G142" s="445"/>
      <c r="H142" s="445"/>
      <c r="I142" s="445"/>
      <c r="J142" s="445"/>
    </row>
    <row r="144" spans="2:13" ht="12.75" customHeight="1">
      <c r="J144" s="209"/>
    </row>
    <row r="145" spans="2:13" ht="13.5" customHeight="1">
      <c r="F145" s="209" t="s">
        <v>39</v>
      </c>
      <c r="G145" s="446" t="str">
        <f>IF($J145="","",'2（収支報告書)'!$E$6)</f>
        <v/>
      </c>
      <c r="H145" s="450" t="s">
        <v>204</v>
      </c>
      <c r="I145" s="450"/>
      <c r="J145" s="456" t="str">
        <f>IF('17-1（所得細目表)'!$B19="","",'17-1（所得細目表)'!$B19)</f>
        <v/>
      </c>
      <c r="L145" s="209">
        <f>VLOOKUP($J145,'17-1（所得細目表)'!$B$9:$M$45,2,0)</f>
        <v>0</v>
      </c>
      <c r="M145" s="458" t="s">
        <v>207</v>
      </c>
    </row>
    <row r="146" spans="2:13">
      <c r="D146" s="273"/>
      <c r="K146" s="273"/>
    </row>
    <row r="147" spans="2:13">
      <c r="B147" s="437" t="s">
        <v>140</v>
      </c>
      <c r="C147" s="441" t="s">
        <v>99</v>
      </c>
      <c r="E147" s="437" t="s">
        <v>186</v>
      </c>
      <c r="F147" s="437" t="s">
        <v>187</v>
      </c>
      <c r="G147" s="447"/>
      <c r="H147" s="451"/>
      <c r="I147" s="447" t="s">
        <v>33</v>
      </c>
      <c r="J147" s="441" t="s">
        <v>60</v>
      </c>
      <c r="L147" s="437" t="s">
        <v>172</v>
      </c>
      <c r="M147" s="459"/>
    </row>
    <row r="148" spans="2:13">
      <c r="B148" s="438" t="s">
        <v>105</v>
      </c>
      <c r="C148" s="442" t="s">
        <v>3</v>
      </c>
      <c r="E148" s="438" t="s">
        <v>86</v>
      </c>
      <c r="F148" s="438" t="s">
        <v>208</v>
      </c>
      <c r="G148" s="448" t="s">
        <v>110</v>
      </c>
      <c r="H148" s="452" t="s">
        <v>210</v>
      </c>
      <c r="I148" s="455" t="s">
        <v>53</v>
      </c>
      <c r="J148" s="442" t="s">
        <v>192</v>
      </c>
      <c r="L148" s="438" t="s">
        <v>193</v>
      </c>
      <c r="M148" s="442" t="s">
        <v>189</v>
      </c>
    </row>
    <row r="149" spans="2:13">
      <c r="B149" s="439"/>
      <c r="C149" s="443" t="s">
        <v>195</v>
      </c>
      <c r="D149" s="444"/>
      <c r="E149" s="439" t="s">
        <v>196</v>
      </c>
      <c r="F149" s="439"/>
      <c r="G149" s="449" t="s">
        <v>69</v>
      </c>
      <c r="H149" s="453" t="s">
        <v>211</v>
      </c>
      <c r="I149" s="454" t="s">
        <v>199</v>
      </c>
      <c r="J149" s="443"/>
      <c r="K149" s="457"/>
      <c r="L149" s="439" t="s">
        <v>200</v>
      </c>
      <c r="M149" s="443" t="s">
        <v>201</v>
      </c>
    </row>
    <row r="150" spans="2:13" ht="30.75" customHeight="1">
      <c r="B150" s="390" t="str">
        <f>VLOOKUP($J145,'17-1（所得細目表)'!$B$9:$M$45,3,0)</f>
        <v/>
      </c>
      <c r="C150" s="390" t="str">
        <f>VLOOKUP($J145,'17-1（所得細目表)'!$B$9:$M$45,4,0)</f>
        <v/>
      </c>
      <c r="D150" s="390"/>
      <c r="E150" s="390" t="str">
        <f>VLOOKUP($J145,'17-1（所得細目表)'!$B$9:$M$45,5,0)</f>
        <v/>
      </c>
      <c r="F150" s="390" t="str">
        <f>VLOOKUP($J145,'17-1（所得細目表)'!$B$9:$M$45,6,0)</f>
        <v/>
      </c>
      <c r="G150" s="390">
        <f>VLOOKUP($J145,'17-1（所得細目表)'!$B$9:$M$45,7,0)</f>
        <v>0</v>
      </c>
      <c r="H150" s="390">
        <f>VLOOKUP($J145,'17-1（所得細目表)'!$B$9:$M$45,8,0)</f>
        <v>0</v>
      </c>
      <c r="I150" s="390" t="str">
        <f>VLOOKUP($J145,'17-1（所得細目表)'!$B$9:$M$45,9,0)</f>
        <v/>
      </c>
      <c r="J150" s="390" t="str">
        <f>VLOOKUP($J145,'17-1（所得細目表)'!$B$9:$M$45,10,0)</f>
        <v/>
      </c>
      <c r="K150" s="390"/>
      <c r="L150" s="390" t="str">
        <f>VLOOKUP($J145,'17-1（所得細目表)'!$B$9:$M$45,11,0)</f>
        <v/>
      </c>
      <c r="M150" s="390" t="str">
        <f>VLOOKUP($J145,'17-1（所得細目表)'!$B$9:$M$45,12,0)</f>
        <v/>
      </c>
    </row>
    <row r="152" spans="2:13">
      <c r="C152" s="1" t="s">
        <v>213</v>
      </c>
    </row>
    <row r="154" spans="2:13">
      <c r="B154" s="440"/>
      <c r="C154" s="440"/>
      <c r="D154" s="440"/>
      <c r="E154" s="440"/>
      <c r="F154" s="440"/>
      <c r="G154" s="440"/>
      <c r="H154" s="440"/>
      <c r="I154" s="440"/>
      <c r="J154" s="440"/>
      <c r="K154" s="440"/>
      <c r="L154" s="440"/>
      <c r="M154" s="440"/>
    </row>
    <row r="156" spans="2:13" ht="14.25">
      <c r="E156" s="445">
        <f>'2（収支報告書)'!$A$9</f>
        <v>7</v>
      </c>
      <c r="F156" s="445"/>
      <c r="G156" s="445"/>
      <c r="H156" s="445"/>
      <c r="I156" s="445"/>
      <c r="J156" s="445"/>
    </row>
    <row r="158" spans="2:13" ht="12.75" customHeight="1">
      <c r="J158" s="209"/>
    </row>
    <row r="159" spans="2:13" ht="13.5" customHeight="1">
      <c r="F159" s="209" t="s">
        <v>39</v>
      </c>
      <c r="G159" s="446" t="str">
        <f>IF($J159="","",'2（収支報告書)'!$E$6)</f>
        <v/>
      </c>
      <c r="H159" s="450" t="s">
        <v>204</v>
      </c>
      <c r="I159" s="450"/>
      <c r="J159" s="456" t="str">
        <f>IF('17-1（所得細目表)'!$B20="","",'17-1（所得細目表)'!$B20)</f>
        <v/>
      </c>
      <c r="L159" s="209">
        <f>VLOOKUP($J159,'17-1（所得細目表)'!$B$9:$M$45,2,0)</f>
        <v>0</v>
      </c>
      <c r="M159" s="458" t="s">
        <v>207</v>
      </c>
    </row>
    <row r="160" spans="2:13">
      <c r="D160" s="273"/>
      <c r="K160" s="273"/>
    </row>
    <row r="161" spans="2:13">
      <c r="B161" s="437" t="s">
        <v>140</v>
      </c>
      <c r="C161" s="441" t="s">
        <v>99</v>
      </c>
      <c r="E161" s="437" t="s">
        <v>186</v>
      </c>
      <c r="F161" s="437" t="s">
        <v>187</v>
      </c>
      <c r="G161" s="447"/>
      <c r="H161" s="451"/>
      <c r="I161" s="447" t="s">
        <v>33</v>
      </c>
      <c r="J161" s="441" t="s">
        <v>60</v>
      </c>
      <c r="L161" s="437" t="s">
        <v>172</v>
      </c>
      <c r="M161" s="459"/>
    </row>
    <row r="162" spans="2:13">
      <c r="B162" s="438" t="s">
        <v>105</v>
      </c>
      <c r="C162" s="442" t="s">
        <v>3</v>
      </c>
      <c r="E162" s="438" t="s">
        <v>86</v>
      </c>
      <c r="F162" s="438" t="s">
        <v>208</v>
      </c>
      <c r="G162" s="448" t="s">
        <v>110</v>
      </c>
      <c r="H162" s="452" t="s">
        <v>210</v>
      </c>
      <c r="I162" s="455" t="s">
        <v>53</v>
      </c>
      <c r="J162" s="442" t="s">
        <v>192</v>
      </c>
      <c r="L162" s="438" t="s">
        <v>193</v>
      </c>
      <c r="M162" s="442" t="s">
        <v>189</v>
      </c>
    </row>
    <row r="163" spans="2:13">
      <c r="B163" s="439"/>
      <c r="C163" s="443" t="s">
        <v>195</v>
      </c>
      <c r="D163" s="444"/>
      <c r="E163" s="439" t="s">
        <v>196</v>
      </c>
      <c r="F163" s="439"/>
      <c r="G163" s="449" t="s">
        <v>69</v>
      </c>
      <c r="H163" s="453" t="s">
        <v>211</v>
      </c>
      <c r="I163" s="454" t="s">
        <v>199</v>
      </c>
      <c r="J163" s="443"/>
      <c r="K163" s="457"/>
      <c r="L163" s="439" t="s">
        <v>200</v>
      </c>
      <c r="M163" s="443" t="s">
        <v>201</v>
      </c>
    </row>
    <row r="164" spans="2:13" ht="30.75" customHeight="1">
      <c r="B164" s="390" t="str">
        <f>VLOOKUP($J159,'17-1（所得細目表)'!$B$9:$M$45,3,0)</f>
        <v/>
      </c>
      <c r="C164" s="390" t="str">
        <f>VLOOKUP($J159,'17-1（所得細目表)'!$B$9:$M$45,4,0)</f>
        <v/>
      </c>
      <c r="D164" s="390"/>
      <c r="E164" s="390" t="str">
        <f>VLOOKUP($J159,'17-1（所得細目表)'!$B$9:$M$45,5,0)</f>
        <v/>
      </c>
      <c r="F164" s="390" t="str">
        <f>VLOOKUP($J159,'17-1（所得細目表)'!$B$9:$M$45,6,0)</f>
        <v/>
      </c>
      <c r="G164" s="390">
        <f>VLOOKUP($J159,'17-1（所得細目表)'!$B$9:$M$45,7,0)</f>
        <v>0</v>
      </c>
      <c r="H164" s="390">
        <f>VLOOKUP($J159,'17-1（所得細目表)'!$B$9:$M$45,8,0)</f>
        <v>0</v>
      </c>
      <c r="I164" s="390" t="str">
        <f>VLOOKUP($J159,'17-1（所得細目表)'!$B$9:$M$45,9,0)</f>
        <v/>
      </c>
      <c r="J164" s="390" t="str">
        <f>VLOOKUP($J159,'17-1（所得細目表)'!$B$9:$M$45,10,0)</f>
        <v/>
      </c>
      <c r="K164" s="390"/>
      <c r="L164" s="390" t="str">
        <f>VLOOKUP($J159,'17-1（所得細目表)'!$B$9:$M$45,11,0)</f>
        <v/>
      </c>
      <c r="M164" s="390" t="str">
        <f>VLOOKUP($J159,'17-1（所得細目表)'!$B$9:$M$45,12,0)</f>
        <v/>
      </c>
    </row>
    <row r="166" spans="2:13">
      <c r="C166" s="1" t="s">
        <v>213</v>
      </c>
    </row>
    <row r="168" spans="2:13">
      <c r="B168" s="440"/>
      <c r="C168" s="440"/>
      <c r="D168" s="440"/>
      <c r="E168" s="440"/>
      <c r="F168" s="440"/>
      <c r="G168" s="440"/>
      <c r="H168" s="440"/>
      <c r="I168" s="440"/>
      <c r="J168" s="440"/>
      <c r="K168" s="440"/>
      <c r="L168" s="440"/>
      <c r="M168" s="440"/>
    </row>
    <row r="170" spans="2:13" ht="14.25">
      <c r="E170" s="445">
        <f>'2（収支報告書)'!$A$9</f>
        <v>7</v>
      </c>
      <c r="F170" s="445"/>
      <c r="G170" s="445"/>
      <c r="H170" s="445"/>
      <c r="I170" s="445"/>
      <c r="J170" s="445"/>
    </row>
    <row r="172" spans="2:13" ht="12.75" customHeight="1">
      <c r="J172" s="209"/>
    </row>
    <row r="173" spans="2:13" ht="13.5" customHeight="1">
      <c r="F173" s="209" t="s">
        <v>39</v>
      </c>
      <c r="G173" s="446" t="str">
        <f>IF($J173="","",'2（収支報告書)'!$E$6)</f>
        <v/>
      </c>
      <c r="H173" s="450" t="s">
        <v>204</v>
      </c>
      <c r="I173" s="450"/>
      <c r="J173" s="456" t="str">
        <f>IF('17-1（所得細目表)'!$B21="","",'17-1（所得細目表)'!$B21)</f>
        <v/>
      </c>
      <c r="L173" s="209">
        <f>VLOOKUP($J173,'17-1（所得細目表)'!$B$9:$M$45,2,0)</f>
        <v>0</v>
      </c>
      <c r="M173" s="458" t="s">
        <v>207</v>
      </c>
    </row>
    <row r="174" spans="2:13">
      <c r="D174" s="273"/>
      <c r="K174" s="273"/>
    </row>
    <row r="175" spans="2:13">
      <c r="B175" s="437" t="s">
        <v>140</v>
      </c>
      <c r="C175" s="441" t="s">
        <v>99</v>
      </c>
      <c r="E175" s="437" t="s">
        <v>186</v>
      </c>
      <c r="F175" s="437" t="s">
        <v>187</v>
      </c>
      <c r="G175" s="447"/>
      <c r="H175" s="451"/>
      <c r="I175" s="447" t="s">
        <v>33</v>
      </c>
      <c r="J175" s="441" t="s">
        <v>60</v>
      </c>
      <c r="L175" s="437" t="s">
        <v>172</v>
      </c>
      <c r="M175" s="459"/>
    </row>
    <row r="176" spans="2:13">
      <c r="B176" s="438" t="s">
        <v>105</v>
      </c>
      <c r="C176" s="442" t="s">
        <v>3</v>
      </c>
      <c r="E176" s="438" t="s">
        <v>86</v>
      </c>
      <c r="F176" s="438" t="s">
        <v>208</v>
      </c>
      <c r="G176" s="448" t="s">
        <v>110</v>
      </c>
      <c r="H176" s="452" t="s">
        <v>210</v>
      </c>
      <c r="I176" s="455" t="s">
        <v>53</v>
      </c>
      <c r="J176" s="442" t="s">
        <v>192</v>
      </c>
      <c r="L176" s="438" t="s">
        <v>193</v>
      </c>
      <c r="M176" s="442" t="s">
        <v>189</v>
      </c>
    </row>
    <row r="177" spans="2:13">
      <c r="B177" s="439"/>
      <c r="C177" s="443" t="s">
        <v>195</v>
      </c>
      <c r="D177" s="444"/>
      <c r="E177" s="439" t="s">
        <v>196</v>
      </c>
      <c r="F177" s="439"/>
      <c r="G177" s="449" t="s">
        <v>69</v>
      </c>
      <c r="H177" s="453" t="s">
        <v>211</v>
      </c>
      <c r="I177" s="454" t="s">
        <v>199</v>
      </c>
      <c r="J177" s="443"/>
      <c r="K177" s="457"/>
      <c r="L177" s="439" t="s">
        <v>200</v>
      </c>
      <c r="M177" s="443" t="s">
        <v>201</v>
      </c>
    </row>
    <row r="178" spans="2:13" ht="30.75" customHeight="1">
      <c r="B178" s="390" t="str">
        <f>VLOOKUP($J173,'17-1（所得細目表)'!$B$9:$M$45,3,0)</f>
        <v/>
      </c>
      <c r="C178" s="390" t="str">
        <f>VLOOKUP($J173,'17-1（所得細目表)'!$B$9:$M$45,4,0)</f>
        <v/>
      </c>
      <c r="D178" s="390"/>
      <c r="E178" s="390" t="str">
        <f>VLOOKUP($J173,'17-1（所得細目表)'!$B$9:$M$45,5,0)</f>
        <v/>
      </c>
      <c r="F178" s="390" t="str">
        <f>VLOOKUP($J173,'17-1（所得細目表)'!$B$9:$M$45,6,0)</f>
        <v/>
      </c>
      <c r="G178" s="390">
        <f>VLOOKUP($J173,'17-1（所得細目表)'!$B$9:$M$45,7,0)</f>
        <v>0</v>
      </c>
      <c r="H178" s="390">
        <f>VLOOKUP($J173,'17-1（所得細目表)'!$B$9:$M$45,8,0)</f>
        <v>0</v>
      </c>
      <c r="I178" s="390" t="str">
        <f>VLOOKUP($J173,'17-1（所得細目表)'!$B$9:$M$45,9,0)</f>
        <v/>
      </c>
      <c r="J178" s="390" t="str">
        <f>VLOOKUP($J173,'17-1（所得細目表)'!$B$9:$M$45,10,0)</f>
        <v/>
      </c>
      <c r="K178" s="390"/>
      <c r="L178" s="390" t="str">
        <f>VLOOKUP($J173,'17-1（所得細目表)'!$B$9:$M$45,11,0)</f>
        <v/>
      </c>
      <c r="M178" s="390" t="str">
        <f>VLOOKUP($J173,'17-1（所得細目表)'!$B$9:$M$45,12,0)</f>
        <v/>
      </c>
    </row>
    <row r="180" spans="2:13">
      <c r="C180" s="1" t="s">
        <v>213</v>
      </c>
    </row>
    <row r="182" spans="2:13">
      <c r="B182" s="440"/>
      <c r="C182" s="440"/>
      <c r="D182" s="440"/>
      <c r="E182" s="440"/>
      <c r="F182" s="440"/>
      <c r="G182" s="440"/>
      <c r="H182" s="440"/>
      <c r="I182" s="440"/>
      <c r="J182" s="440"/>
      <c r="K182" s="440"/>
      <c r="L182" s="440"/>
      <c r="M182" s="440"/>
    </row>
    <row r="184" spans="2:13" ht="14.25">
      <c r="E184" s="445">
        <f>'2（収支報告書)'!$A$9</f>
        <v>7</v>
      </c>
      <c r="F184" s="445"/>
      <c r="G184" s="445"/>
      <c r="H184" s="445"/>
      <c r="I184" s="445"/>
      <c r="J184" s="445"/>
    </row>
    <row r="186" spans="2:13" ht="12.75" customHeight="1">
      <c r="J186" s="209"/>
    </row>
    <row r="187" spans="2:13" ht="13.5" customHeight="1">
      <c r="F187" s="209" t="s">
        <v>39</v>
      </c>
      <c r="G187" s="446" t="str">
        <f>IF($J187="","",'2（収支報告書)'!$E$6)</f>
        <v/>
      </c>
      <c r="H187" s="450" t="s">
        <v>204</v>
      </c>
      <c r="I187" s="450"/>
      <c r="J187" s="456" t="str">
        <f>IF('17-1（所得細目表)'!$B22="","",'17-1（所得細目表)'!$B22)</f>
        <v/>
      </c>
      <c r="L187" s="209">
        <f>VLOOKUP($J187,'17-1（所得細目表)'!$B$9:$M$45,2,0)</f>
        <v>0</v>
      </c>
      <c r="M187" s="458" t="s">
        <v>207</v>
      </c>
    </row>
    <row r="188" spans="2:13">
      <c r="D188" s="273"/>
      <c r="K188" s="273"/>
    </row>
    <row r="189" spans="2:13">
      <c r="B189" s="437" t="s">
        <v>140</v>
      </c>
      <c r="C189" s="441" t="s">
        <v>99</v>
      </c>
      <c r="E189" s="437" t="s">
        <v>186</v>
      </c>
      <c r="F189" s="437" t="s">
        <v>187</v>
      </c>
      <c r="G189" s="447"/>
      <c r="H189" s="451"/>
      <c r="I189" s="447" t="s">
        <v>33</v>
      </c>
      <c r="J189" s="441" t="s">
        <v>60</v>
      </c>
      <c r="L189" s="437" t="s">
        <v>172</v>
      </c>
      <c r="M189" s="459"/>
    </row>
    <row r="190" spans="2:13">
      <c r="B190" s="438" t="s">
        <v>105</v>
      </c>
      <c r="C190" s="442" t="s">
        <v>3</v>
      </c>
      <c r="E190" s="438" t="s">
        <v>86</v>
      </c>
      <c r="F190" s="438" t="s">
        <v>208</v>
      </c>
      <c r="G190" s="448" t="s">
        <v>110</v>
      </c>
      <c r="H190" s="452" t="s">
        <v>210</v>
      </c>
      <c r="I190" s="455" t="s">
        <v>53</v>
      </c>
      <c r="J190" s="442" t="s">
        <v>192</v>
      </c>
      <c r="L190" s="438" t="s">
        <v>193</v>
      </c>
      <c r="M190" s="442" t="s">
        <v>189</v>
      </c>
    </row>
    <row r="191" spans="2:13">
      <c r="B191" s="439"/>
      <c r="C191" s="443" t="s">
        <v>195</v>
      </c>
      <c r="D191" s="444"/>
      <c r="E191" s="439" t="s">
        <v>196</v>
      </c>
      <c r="F191" s="439"/>
      <c r="G191" s="449" t="s">
        <v>69</v>
      </c>
      <c r="H191" s="453" t="s">
        <v>211</v>
      </c>
      <c r="I191" s="454" t="s">
        <v>199</v>
      </c>
      <c r="J191" s="443"/>
      <c r="K191" s="457"/>
      <c r="L191" s="439" t="s">
        <v>200</v>
      </c>
      <c r="M191" s="443" t="s">
        <v>201</v>
      </c>
    </row>
    <row r="192" spans="2:13" ht="30.75" customHeight="1">
      <c r="B192" s="390" t="str">
        <f>VLOOKUP($J187,'17-1（所得細目表)'!$B$9:$M$45,3,0)</f>
        <v/>
      </c>
      <c r="C192" s="390" t="str">
        <f>VLOOKUP($J187,'17-1（所得細目表)'!$B$9:$M$45,4,0)</f>
        <v/>
      </c>
      <c r="D192" s="390"/>
      <c r="E192" s="390" t="str">
        <f>VLOOKUP($J187,'17-1（所得細目表)'!$B$9:$M$45,5,0)</f>
        <v/>
      </c>
      <c r="F192" s="390" t="str">
        <f>VLOOKUP($J187,'17-1（所得細目表)'!$B$9:$M$45,6,0)</f>
        <v/>
      </c>
      <c r="G192" s="390">
        <f>VLOOKUP($J187,'17-1（所得細目表)'!$B$9:$M$45,7,0)</f>
        <v>0</v>
      </c>
      <c r="H192" s="390">
        <f>VLOOKUP($J187,'17-1（所得細目表)'!$B$9:$M$45,8,0)</f>
        <v>0</v>
      </c>
      <c r="I192" s="390" t="str">
        <f>VLOOKUP($J187,'17-1（所得細目表)'!$B$9:$M$45,9,0)</f>
        <v/>
      </c>
      <c r="J192" s="390" t="str">
        <f>VLOOKUP($J187,'17-1（所得細目表)'!$B$9:$M$45,10,0)</f>
        <v/>
      </c>
      <c r="K192" s="390"/>
      <c r="L192" s="390" t="str">
        <f>VLOOKUP($J187,'17-1（所得細目表)'!$B$9:$M$45,11,0)</f>
        <v/>
      </c>
      <c r="M192" s="390" t="str">
        <f>VLOOKUP($J187,'17-1（所得細目表)'!$B$9:$M$45,12,0)</f>
        <v/>
      </c>
    </row>
    <row r="194" spans="2:13">
      <c r="C194" s="1" t="s">
        <v>213</v>
      </c>
    </row>
    <row r="196" spans="2:13">
      <c r="B196" s="440"/>
      <c r="C196" s="440"/>
      <c r="D196" s="440"/>
      <c r="E196" s="440"/>
      <c r="F196" s="440"/>
      <c r="G196" s="440"/>
      <c r="H196" s="440"/>
      <c r="I196" s="440"/>
      <c r="J196" s="440"/>
      <c r="K196" s="440"/>
      <c r="L196" s="440"/>
      <c r="M196" s="440"/>
    </row>
    <row r="198" spans="2:13" ht="14.25">
      <c r="E198" s="445">
        <f>'2（収支報告書)'!$A$9</f>
        <v>7</v>
      </c>
      <c r="F198" s="445"/>
      <c r="G198" s="445"/>
      <c r="H198" s="445"/>
      <c r="I198" s="445"/>
      <c r="J198" s="445"/>
    </row>
    <row r="200" spans="2:13" ht="12.75" customHeight="1">
      <c r="J200" s="209"/>
    </row>
    <row r="201" spans="2:13" ht="13.5" customHeight="1">
      <c r="F201" s="209" t="s">
        <v>39</v>
      </c>
      <c r="G201" s="446" t="str">
        <f>IF($J201="","",'2（収支報告書)'!$E$6)</f>
        <v/>
      </c>
      <c r="H201" s="450" t="s">
        <v>204</v>
      </c>
      <c r="I201" s="450"/>
      <c r="J201" s="456" t="str">
        <f>IF('17-1（所得細目表)'!$B23="","",'17-1（所得細目表)'!$B23)</f>
        <v/>
      </c>
      <c r="L201" s="209">
        <f>VLOOKUP($J201,'17-1（所得細目表)'!$B$9:$M$45,2,0)</f>
        <v>0</v>
      </c>
      <c r="M201" s="458" t="s">
        <v>207</v>
      </c>
    </row>
    <row r="202" spans="2:13">
      <c r="D202" s="273"/>
      <c r="K202" s="273"/>
    </row>
    <row r="203" spans="2:13">
      <c r="B203" s="437" t="s">
        <v>140</v>
      </c>
      <c r="C203" s="441" t="s">
        <v>99</v>
      </c>
      <c r="E203" s="437" t="s">
        <v>186</v>
      </c>
      <c r="F203" s="437" t="s">
        <v>187</v>
      </c>
      <c r="G203" s="447"/>
      <c r="H203" s="451"/>
      <c r="I203" s="447" t="s">
        <v>33</v>
      </c>
      <c r="J203" s="441" t="s">
        <v>60</v>
      </c>
      <c r="L203" s="437" t="s">
        <v>172</v>
      </c>
      <c r="M203" s="459"/>
    </row>
    <row r="204" spans="2:13">
      <c r="B204" s="438" t="s">
        <v>105</v>
      </c>
      <c r="C204" s="442" t="s">
        <v>3</v>
      </c>
      <c r="E204" s="438" t="s">
        <v>86</v>
      </c>
      <c r="F204" s="438" t="s">
        <v>208</v>
      </c>
      <c r="G204" s="448" t="s">
        <v>110</v>
      </c>
      <c r="H204" s="452" t="s">
        <v>210</v>
      </c>
      <c r="I204" s="455" t="s">
        <v>53</v>
      </c>
      <c r="J204" s="442" t="s">
        <v>192</v>
      </c>
      <c r="L204" s="438" t="s">
        <v>193</v>
      </c>
      <c r="M204" s="442" t="s">
        <v>189</v>
      </c>
    </row>
    <row r="205" spans="2:13">
      <c r="B205" s="439"/>
      <c r="C205" s="443" t="s">
        <v>195</v>
      </c>
      <c r="D205" s="444"/>
      <c r="E205" s="439" t="s">
        <v>196</v>
      </c>
      <c r="F205" s="439"/>
      <c r="G205" s="449" t="s">
        <v>69</v>
      </c>
      <c r="H205" s="453" t="s">
        <v>211</v>
      </c>
      <c r="I205" s="454" t="s">
        <v>199</v>
      </c>
      <c r="J205" s="443"/>
      <c r="K205" s="457"/>
      <c r="L205" s="439" t="s">
        <v>200</v>
      </c>
      <c r="M205" s="443" t="s">
        <v>201</v>
      </c>
    </row>
    <row r="206" spans="2:13" ht="30.75" customHeight="1">
      <c r="B206" s="390" t="str">
        <f>VLOOKUP($J201,'17-1（所得細目表)'!$B$9:$M$45,3,0)</f>
        <v/>
      </c>
      <c r="C206" s="390" t="str">
        <f>VLOOKUP($J201,'17-1（所得細目表)'!$B$9:$M$45,4,0)</f>
        <v/>
      </c>
      <c r="D206" s="390"/>
      <c r="E206" s="390" t="str">
        <f>VLOOKUP($J201,'17-1（所得細目表)'!$B$9:$M$45,5,0)</f>
        <v/>
      </c>
      <c r="F206" s="390" t="str">
        <f>VLOOKUP($J201,'17-1（所得細目表)'!$B$9:$M$45,6,0)</f>
        <v/>
      </c>
      <c r="G206" s="390">
        <f>VLOOKUP($J201,'17-1（所得細目表)'!$B$9:$M$45,7,0)</f>
        <v>0</v>
      </c>
      <c r="H206" s="390">
        <f>VLOOKUP($J201,'17-1（所得細目表)'!$B$9:$M$45,8,0)</f>
        <v>0</v>
      </c>
      <c r="I206" s="390" t="str">
        <f>VLOOKUP($J201,'17-1（所得細目表)'!$B$9:$M$45,9,0)</f>
        <v/>
      </c>
      <c r="J206" s="390" t="str">
        <f>VLOOKUP($J201,'17-1（所得細目表)'!$B$9:$M$45,10,0)</f>
        <v/>
      </c>
      <c r="K206" s="390"/>
      <c r="L206" s="390" t="str">
        <f>VLOOKUP($J201,'17-1（所得細目表)'!$B$9:$M$45,11,0)</f>
        <v/>
      </c>
      <c r="M206" s="390" t="str">
        <f>VLOOKUP($J201,'17-1（所得細目表)'!$B$9:$M$45,12,0)</f>
        <v/>
      </c>
    </row>
    <row r="208" spans="2:13">
      <c r="C208" s="1" t="s">
        <v>213</v>
      </c>
    </row>
    <row r="210" spans="2:13">
      <c r="B210" s="440"/>
      <c r="C210" s="440"/>
      <c r="D210" s="440"/>
      <c r="E210" s="440"/>
      <c r="F210" s="440"/>
      <c r="G210" s="440"/>
      <c r="H210" s="440"/>
      <c r="I210" s="440"/>
      <c r="J210" s="440"/>
      <c r="K210" s="440"/>
      <c r="L210" s="440"/>
      <c r="M210" s="440"/>
    </row>
    <row r="212" spans="2:13" ht="14.25">
      <c r="E212" s="445">
        <f>'2（収支報告書)'!$A$9</f>
        <v>7</v>
      </c>
      <c r="F212" s="445"/>
      <c r="G212" s="445"/>
      <c r="H212" s="445"/>
      <c r="I212" s="445"/>
      <c r="J212" s="445"/>
    </row>
    <row r="214" spans="2:13" ht="12.75" customHeight="1">
      <c r="J214" s="209"/>
    </row>
    <row r="215" spans="2:13" ht="13.5" customHeight="1">
      <c r="F215" s="209" t="s">
        <v>39</v>
      </c>
      <c r="G215" s="446" t="str">
        <f>IF($J215="","",'2（収支報告書)'!$E$6)</f>
        <v/>
      </c>
      <c r="H215" s="450" t="s">
        <v>204</v>
      </c>
      <c r="I215" s="450"/>
      <c r="J215" s="456" t="str">
        <f>IF('17-1（所得細目表)'!$B24="","",'17-1（所得細目表)'!$B24)</f>
        <v/>
      </c>
      <c r="L215" s="209">
        <f>VLOOKUP($J215,'17-1（所得細目表)'!$B$9:$M$45,2,0)</f>
        <v>0</v>
      </c>
      <c r="M215" s="458" t="s">
        <v>207</v>
      </c>
    </row>
    <row r="216" spans="2:13">
      <c r="D216" s="273"/>
      <c r="K216" s="273"/>
    </row>
    <row r="217" spans="2:13">
      <c r="B217" s="437" t="s">
        <v>140</v>
      </c>
      <c r="C217" s="441" t="s">
        <v>99</v>
      </c>
      <c r="E217" s="437" t="s">
        <v>186</v>
      </c>
      <c r="F217" s="437" t="s">
        <v>187</v>
      </c>
      <c r="G217" s="447"/>
      <c r="H217" s="451"/>
      <c r="I217" s="447" t="s">
        <v>33</v>
      </c>
      <c r="J217" s="441" t="s">
        <v>60</v>
      </c>
      <c r="L217" s="437" t="s">
        <v>172</v>
      </c>
      <c r="M217" s="459"/>
    </row>
    <row r="218" spans="2:13">
      <c r="B218" s="438" t="s">
        <v>105</v>
      </c>
      <c r="C218" s="442" t="s">
        <v>3</v>
      </c>
      <c r="E218" s="438" t="s">
        <v>86</v>
      </c>
      <c r="F218" s="438" t="s">
        <v>208</v>
      </c>
      <c r="G218" s="448" t="s">
        <v>110</v>
      </c>
      <c r="H218" s="452" t="s">
        <v>210</v>
      </c>
      <c r="I218" s="455" t="s">
        <v>53</v>
      </c>
      <c r="J218" s="442" t="s">
        <v>192</v>
      </c>
      <c r="L218" s="438" t="s">
        <v>193</v>
      </c>
      <c r="M218" s="442" t="s">
        <v>189</v>
      </c>
    </row>
    <row r="219" spans="2:13">
      <c r="B219" s="439"/>
      <c r="C219" s="443" t="s">
        <v>195</v>
      </c>
      <c r="D219" s="444"/>
      <c r="E219" s="439" t="s">
        <v>196</v>
      </c>
      <c r="F219" s="439"/>
      <c r="G219" s="449" t="s">
        <v>69</v>
      </c>
      <c r="H219" s="453" t="s">
        <v>211</v>
      </c>
      <c r="I219" s="454" t="s">
        <v>199</v>
      </c>
      <c r="J219" s="443"/>
      <c r="K219" s="457"/>
      <c r="L219" s="439" t="s">
        <v>200</v>
      </c>
      <c r="M219" s="443" t="s">
        <v>201</v>
      </c>
    </row>
    <row r="220" spans="2:13" ht="30.75" customHeight="1">
      <c r="B220" s="390" t="str">
        <f>VLOOKUP($J215,'17-1（所得細目表)'!$B$9:$M$45,3,0)</f>
        <v/>
      </c>
      <c r="C220" s="390" t="str">
        <f>VLOOKUP($J215,'17-1（所得細目表)'!$B$9:$M$45,4,0)</f>
        <v/>
      </c>
      <c r="D220" s="390"/>
      <c r="E220" s="390" t="str">
        <f>VLOOKUP($J215,'17-1（所得細目表)'!$B$9:$M$45,5,0)</f>
        <v/>
      </c>
      <c r="F220" s="390" t="str">
        <f>VLOOKUP($J215,'17-1（所得細目表)'!$B$9:$M$45,6,0)</f>
        <v/>
      </c>
      <c r="G220" s="390">
        <f>VLOOKUP($J215,'17-1（所得細目表)'!$B$9:$M$45,7,0)</f>
        <v>0</v>
      </c>
      <c r="H220" s="390">
        <f>VLOOKUP($J215,'17-1（所得細目表)'!$B$9:$M$45,8,0)</f>
        <v>0</v>
      </c>
      <c r="I220" s="390" t="str">
        <f>VLOOKUP($J215,'17-1（所得細目表)'!$B$9:$M$45,9,0)</f>
        <v/>
      </c>
      <c r="J220" s="390" t="str">
        <f>VLOOKUP($J215,'17-1（所得細目表)'!$B$9:$M$45,10,0)</f>
        <v/>
      </c>
      <c r="K220" s="390"/>
      <c r="L220" s="390" t="str">
        <f>VLOOKUP($J215,'17-1（所得細目表)'!$B$9:$M$45,11,0)</f>
        <v/>
      </c>
      <c r="M220" s="390" t="str">
        <f>VLOOKUP($J215,'17-1（所得細目表)'!$B$9:$M$45,12,0)</f>
        <v/>
      </c>
    </row>
    <row r="222" spans="2:13">
      <c r="C222" s="1" t="s">
        <v>213</v>
      </c>
    </row>
    <row r="224" spans="2:13">
      <c r="B224" s="440"/>
      <c r="C224" s="440"/>
      <c r="D224" s="440"/>
      <c r="E224" s="440"/>
      <c r="F224" s="440"/>
      <c r="G224" s="440"/>
      <c r="H224" s="440"/>
      <c r="I224" s="440"/>
      <c r="J224" s="440"/>
      <c r="K224" s="440"/>
      <c r="L224" s="440"/>
      <c r="M224" s="440"/>
    </row>
    <row r="226" spans="2:13" ht="14.25">
      <c r="E226" s="445">
        <f>'2（収支報告書)'!$A$9</f>
        <v>7</v>
      </c>
      <c r="F226" s="445"/>
      <c r="G226" s="445"/>
      <c r="H226" s="445"/>
      <c r="I226" s="445"/>
      <c r="J226" s="445"/>
    </row>
    <row r="228" spans="2:13" ht="12.75" customHeight="1">
      <c r="J228" s="209"/>
    </row>
    <row r="229" spans="2:13" ht="13.5" customHeight="1">
      <c r="F229" s="209" t="s">
        <v>39</v>
      </c>
      <c r="G229" s="446" t="str">
        <f>IF($J229="","",'2（収支報告書)'!$E$6)</f>
        <v/>
      </c>
      <c r="H229" s="450" t="s">
        <v>204</v>
      </c>
      <c r="I229" s="450"/>
      <c r="J229" s="456" t="str">
        <f>IF('17-1（所得細目表)'!$B25="","",'17-1（所得細目表)'!$B25)</f>
        <v/>
      </c>
      <c r="L229" s="209">
        <f>VLOOKUP($J229,'17-1（所得細目表)'!$B$9:$M$45,2,0)</f>
        <v>0</v>
      </c>
      <c r="M229" s="458" t="s">
        <v>207</v>
      </c>
    </row>
    <row r="230" spans="2:13">
      <c r="D230" s="273"/>
      <c r="K230" s="273"/>
    </row>
    <row r="231" spans="2:13">
      <c r="B231" s="437" t="s">
        <v>140</v>
      </c>
      <c r="C231" s="441" t="s">
        <v>99</v>
      </c>
      <c r="E231" s="437" t="s">
        <v>186</v>
      </c>
      <c r="F231" s="437" t="s">
        <v>187</v>
      </c>
      <c r="G231" s="447"/>
      <c r="H231" s="451"/>
      <c r="I231" s="447" t="s">
        <v>33</v>
      </c>
      <c r="J231" s="441" t="s">
        <v>60</v>
      </c>
      <c r="L231" s="437" t="s">
        <v>172</v>
      </c>
      <c r="M231" s="459"/>
    </row>
    <row r="232" spans="2:13">
      <c r="B232" s="438" t="s">
        <v>105</v>
      </c>
      <c r="C232" s="442" t="s">
        <v>3</v>
      </c>
      <c r="E232" s="438" t="s">
        <v>86</v>
      </c>
      <c r="F232" s="438" t="s">
        <v>208</v>
      </c>
      <c r="G232" s="448" t="s">
        <v>110</v>
      </c>
      <c r="H232" s="452" t="s">
        <v>210</v>
      </c>
      <c r="I232" s="455" t="s">
        <v>53</v>
      </c>
      <c r="J232" s="442" t="s">
        <v>192</v>
      </c>
      <c r="L232" s="438" t="s">
        <v>193</v>
      </c>
      <c r="M232" s="442" t="s">
        <v>189</v>
      </c>
    </row>
    <row r="233" spans="2:13">
      <c r="B233" s="439"/>
      <c r="C233" s="443" t="s">
        <v>195</v>
      </c>
      <c r="D233" s="444"/>
      <c r="E233" s="439" t="s">
        <v>196</v>
      </c>
      <c r="F233" s="439"/>
      <c r="G233" s="449" t="s">
        <v>69</v>
      </c>
      <c r="H233" s="453" t="s">
        <v>211</v>
      </c>
      <c r="I233" s="454" t="s">
        <v>199</v>
      </c>
      <c r="J233" s="443"/>
      <c r="K233" s="457"/>
      <c r="L233" s="439" t="s">
        <v>200</v>
      </c>
      <c r="M233" s="443" t="s">
        <v>201</v>
      </c>
    </row>
    <row r="234" spans="2:13" ht="30.75" customHeight="1">
      <c r="B234" s="390" t="str">
        <f>VLOOKUP($J229,'17-1（所得細目表)'!$B$9:$M$45,3,0)</f>
        <v/>
      </c>
      <c r="C234" s="390" t="str">
        <f>VLOOKUP($J229,'17-1（所得細目表)'!$B$9:$M$45,4,0)</f>
        <v/>
      </c>
      <c r="D234" s="390"/>
      <c r="E234" s="390" t="str">
        <f>VLOOKUP($J229,'17-1（所得細目表)'!$B$9:$M$45,5,0)</f>
        <v/>
      </c>
      <c r="F234" s="390" t="str">
        <f>VLOOKUP($J229,'17-1（所得細目表)'!$B$9:$M$45,6,0)</f>
        <v/>
      </c>
      <c r="G234" s="390">
        <f>VLOOKUP($J229,'17-1（所得細目表)'!$B$9:$M$45,7,0)</f>
        <v>0</v>
      </c>
      <c r="H234" s="390">
        <f>VLOOKUP($J229,'17-1（所得細目表)'!$B$9:$M$45,8,0)</f>
        <v>0</v>
      </c>
      <c r="I234" s="390" t="str">
        <f>VLOOKUP($J229,'17-1（所得細目表)'!$B$9:$M$45,9,0)</f>
        <v/>
      </c>
      <c r="J234" s="390" t="str">
        <f>VLOOKUP($J229,'17-1（所得細目表)'!$B$9:$M$45,10,0)</f>
        <v/>
      </c>
      <c r="K234" s="390"/>
      <c r="L234" s="390" t="str">
        <f>VLOOKUP($J229,'17-1（所得細目表)'!$B$9:$M$45,11,0)</f>
        <v/>
      </c>
      <c r="M234" s="390" t="str">
        <f>VLOOKUP($J229,'17-1（所得細目表)'!$B$9:$M$45,12,0)</f>
        <v/>
      </c>
    </row>
    <row r="236" spans="2:13">
      <c r="C236" s="1" t="s">
        <v>213</v>
      </c>
    </row>
    <row r="238" spans="2:13">
      <c r="B238" s="440"/>
      <c r="C238" s="440"/>
      <c r="D238" s="440"/>
      <c r="E238" s="440"/>
      <c r="F238" s="440"/>
      <c r="G238" s="440"/>
      <c r="H238" s="440"/>
      <c r="I238" s="440"/>
      <c r="J238" s="440"/>
      <c r="K238" s="440"/>
      <c r="L238" s="440"/>
      <c r="M238" s="440"/>
    </row>
    <row r="240" spans="2:13" ht="14.25">
      <c r="E240" s="445">
        <f>'2（収支報告書)'!$A$9</f>
        <v>7</v>
      </c>
      <c r="F240" s="445"/>
      <c r="G240" s="445"/>
      <c r="H240" s="445"/>
      <c r="I240" s="445"/>
      <c r="J240" s="445"/>
    </row>
    <row r="242" spans="2:13" ht="12.75" customHeight="1">
      <c r="J242" s="209"/>
    </row>
    <row r="243" spans="2:13" ht="13.5" customHeight="1">
      <c r="F243" s="209" t="s">
        <v>39</v>
      </c>
      <c r="G243" s="446" t="str">
        <f>IF($J243="","",'2（収支報告書)'!$E$6)</f>
        <v/>
      </c>
      <c r="H243" s="450" t="s">
        <v>204</v>
      </c>
      <c r="I243" s="450"/>
      <c r="J243" s="456" t="str">
        <f>IF('17-1（所得細目表)'!$B26="","",'17-1（所得細目表)'!$B26)</f>
        <v/>
      </c>
      <c r="L243" s="209">
        <f>VLOOKUP($J243,'17-1（所得細目表)'!$B$9:$M$45,2,0)</f>
        <v>0</v>
      </c>
      <c r="M243" s="458" t="s">
        <v>207</v>
      </c>
    </row>
    <row r="244" spans="2:13">
      <c r="D244" s="273"/>
      <c r="K244" s="273"/>
    </row>
    <row r="245" spans="2:13">
      <c r="B245" s="437" t="s">
        <v>140</v>
      </c>
      <c r="C245" s="441" t="s">
        <v>99</v>
      </c>
      <c r="E245" s="437" t="s">
        <v>186</v>
      </c>
      <c r="F245" s="437" t="s">
        <v>187</v>
      </c>
      <c r="G245" s="447"/>
      <c r="H245" s="451"/>
      <c r="I245" s="447" t="s">
        <v>33</v>
      </c>
      <c r="J245" s="441" t="s">
        <v>60</v>
      </c>
      <c r="L245" s="437" t="s">
        <v>172</v>
      </c>
      <c r="M245" s="459"/>
    </row>
    <row r="246" spans="2:13">
      <c r="B246" s="438" t="s">
        <v>105</v>
      </c>
      <c r="C246" s="442" t="s">
        <v>3</v>
      </c>
      <c r="E246" s="438" t="s">
        <v>86</v>
      </c>
      <c r="F246" s="438" t="s">
        <v>208</v>
      </c>
      <c r="G246" s="448" t="s">
        <v>110</v>
      </c>
      <c r="H246" s="452" t="s">
        <v>210</v>
      </c>
      <c r="I246" s="455" t="s">
        <v>53</v>
      </c>
      <c r="J246" s="442" t="s">
        <v>192</v>
      </c>
      <c r="L246" s="438" t="s">
        <v>193</v>
      </c>
      <c r="M246" s="442" t="s">
        <v>189</v>
      </c>
    </row>
    <row r="247" spans="2:13">
      <c r="B247" s="439"/>
      <c r="C247" s="443" t="s">
        <v>195</v>
      </c>
      <c r="D247" s="444"/>
      <c r="E247" s="439" t="s">
        <v>196</v>
      </c>
      <c r="F247" s="439"/>
      <c r="G247" s="449" t="s">
        <v>69</v>
      </c>
      <c r="H247" s="453" t="s">
        <v>211</v>
      </c>
      <c r="I247" s="454" t="s">
        <v>199</v>
      </c>
      <c r="J247" s="443"/>
      <c r="K247" s="457"/>
      <c r="L247" s="439" t="s">
        <v>200</v>
      </c>
      <c r="M247" s="443" t="s">
        <v>201</v>
      </c>
    </row>
    <row r="248" spans="2:13" ht="30.75" customHeight="1">
      <c r="B248" s="390" t="str">
        <f>VLOOKUP($J243,'17-1（所得細目表)'!$B$9:$M$45,3,0)</f>
        <v/>
      </c>
      <c r="C248" s="390" t="str">
        <f>VLOOKUP($J243,'17-1（所得細目表)'!$B$9:$M$45,4,0)</f>
        <v/>
      </c>
      <c r="D248" s="390"/>
      <c r="E248" s="390" t="str">
        <f>VLOOKUP($J243,'17-1（所得細目表)'!$B$9:$M$45,5,0)</f>
        <v/>
      </c>
      <c r="F248" s="390" t="str">
        <f>VLOOKUP($J243,'17-1（所得細目表)'!$B$9:$M$45,6,0)</f>
        <v/>
      </c>
      <c r="G248" s="390">
        <f>VLOOKUP($J243,'17-1（所得細目表)'!$B$9:$M$45,7,0)</f>
        <v>0</v>
      </c>
      <c r="H248" s="390">
        <f>VLOOKUP($J243,'17-1（所得細目表)'!$B$9:$M$45,8,0)</f>
        <v>0</v>
      </c>
      <c r="I248" s="390" t="str">
        <f>VLOOKUP($J243,'17-1（所得細目表)'!$B$9:$M$45,9,0)</f>
        <v/>
      </c>
      <c r="J248" s="390" t="str">
        <f>VLOOKUP($J243,'17-1（所得細目表)'!$B$9:$M$45,10,0)</f>
        <v/>
      </c>
      <c r="K248" s="390"/>
      <c r="L248" s="390" t="str">
        <f>VLOOKUP($J243,'17-1（所得細目表)'!$B$9:$M$45,11,0)</f>
        <v/>
      </c>
      <c r="M248" s="390" t="str">
        <f>VLOOKUP($J243,'17-1（所得細目表)'!$B$9:$M$45,12,0)</f>
        <v/>
      </c>
    </row>
    <row r="250" spans="2:13">
      <c r="C250" s="1" t="s">
        <v>213</v>
      </c>
    </row>
    <row r="252" spans="2:13">
      <c r="B252" s="440"/>
      <c r="C252" s="440"/>
      <c r="D252" s="440"/>
      <c r="E252" s="440"/>
      <c r="F252" s="440"/>
      <c r="G252" s="440"/>
      <c r="H252" s="440"/>
      <c r="I252" s="440"/>
      <c r="J252" s="440"/>
      <c r="K252" s="440"/>
      <c r="L252" s="440"/>
      <c r="M252" s="440"/>
    </row>
    <row r="254" spans="2:13" ht="14.25">
      <c r="E254" s="445">
        <f>'2（収支報告書)'!$A$9</f>
        <v>7</v>
      </c>
      <c r="F254" s="445"/>
      <c r="G254" s="445"/>
      <c r="H254" s="445"/>
      <c r="I254" s="445"/>
      <c r="J254" s="445"/>
    </row>
    <row r="256" spans="2:13" ht="12.75" customHeight="1">
      <c r="J256" s="209"/>
    </row>
    <row r="257" spans="2:13" ht="13.5" customHeight="1">
      <c r="F257" s="209" t="s">
        <v>39</v>
      </c>
      <c r="G257" s="446" t="str">
        <f>IF($J257="","",'2（収支報告書)'!$E$6)</f>
        <v/>
      </c>
      <c r="H257" s="450" t="s">
        <v>204</v>
      </c>
      <c r="I257" s="450"/>
      <c r="J257" s="456" t="str">
        <f>IF('17-1（所得細目表)'!$B27="","",'17-1（所得細目表)'!$B27)</f>
        <v/>
      </c>
      <c r="L257" s="209">
        <f>VLOOKUP($J257,'17-1（所得細目表)'!$B$9:$M$45,2,0)</f>
        <v>0</v>
      </c>
      <c r="M257" s="458" t="s">
        <v>207</v>
      </c>
    </row>
    <row r="258" spans="2:13">
      <c r="D258" s="273"/>
      <c r="K258" s="273"/>
    </row>
    <row r="259" spans="2:13">
      <c r="B259" s="437" t="s">
        <v>140</v>
      </c>
      <c r="C259" s="441" t="s">
        <v>99</v>
      </c>
      <c r="E259" s="437" t="s">
        <v>186</v>
      </c>
      <c r="F259" s="437" t="s">
        <v>187</v>
      </c>
      <c r="G259" s="447"/>
      <c r="H259" s="451"/>
      <c r="I259" s="447" t="s">
        <v>33</v>
      </c>
      <c r="J259" s="441" t="s">
        <v>60</v>
      </c>
      <c r="L259" s="437" t="s">
        <v>172</v>
      </c>
      <c r="M259" s="459"/>
    </row>
    <row r="260" spans="2:13">
      <c r="B260" s="438" t="s">
        <v>105</v>
      </c>
      <c r="C260" s="442" t="s">
        <v>3</v>
      </c>
      <c r="E260" s="438" t="s">
        <v>86</v>
      </c>
      <c r="F260" s="438" t="s">
        <v>208</v>
      </c>
      <c r="G260" s="448" t="s">
        <v>110</v>
      </c>
      <c r="H260" s="452" t="s">
        <v>210</v>
      </c>
      <c r="I260" s="455" t="s">
        <v>53</v>
      </c>
      <c r="J260" s="442" t="s">
        <v>192</v>
      </c>
      <c r="L260" s="438" t="s">
        <v>193</v>
      </c>
      <c r="M260" s="442" t="s">
        <v>189</v>
      </c>
    </row>
    <row r="261" spans="2:13">
      <c r="B261" s="439"/>
      <c r="C261" s="443" t="s">
        <v>195</v>
      </c>
      <c r="D261" s="444"/>
      <c r="E261" s="439" t="s">
        <v>196</v>
      </c>
      <c r="F261" s="439"/>
      <c r="G261" s="449" t="s">
        <v>69</v>
      </c>
      <c r="H261" s="453" t="s">
        <v>211</v>
      </c>
      <c r="I261" s="454" t="s">
        <v>199</v>
      </c>
      <c r="J261" s="443"/>
      <c r="K261" s="457"/>
      <c r="L261" s="439" t="s">
        <v>200</v>
      </c>
      <c r="M261" s="443" t="s">
        <v>201</v>
      </c>
    </row>
    <row r="262" spans="2:13" ht="30.75" customHeight="1">
      <c r="B262" s="390" t="str">
        <f>VLOOKUP($J257,'17-1（所得細目表)'!$B$9:$M$45,3,0)</f>
        <v/>
      </c>
      <c r="C262" s="390" t="str">
        <f>VLOOKUP($J257,'17-1（所得細目表)'!$B$9:$M$45,4,0)</f>
        <v/>
      </c>
      <c r="D262" s="390"/>
      <c r="E262" s="390" t="str">
        <f>VLOOKUP($J257,'17-1（所得細目表)'!$B$9:$M$45,5,0)</f>
        <v/>
      </c>
      <c r="F262" s="390" t="str">
        <f>VLOOKUP($J257,'17-1（所得細目表)'!$B$9:$M$45,6,0)</f>
        <v/>
      </c>
      <c r="G262" s="390">
        <f>VLOOKUP($J257,'17-1（所得細目表)'!$B$9:$M$45,7,0)</f>
        <v>0</v>
      </c>
      <c r="H262" s="390">
        <f>VLOOKUP($J257,'17-1（所得細目表)'!$B$9:$M$45,8,0)</f>
        <v>0</v>
      </c>
      <c r="I262" s="390" t="str">
        <f>VLOOKUP($J257,'17-1（所得細目表)'!$B$9:$M$45,9,0)</f>
        <v/>
      </c>
      <c r="J262" s="390" t="str">
        <f>VLOOKUP($J257,'17-1（所得細目表)'!$B$9:$M$45,10,0)</f>
        <v/>
      </c>
      <c r="K262" s="390"/>
      <c r="L262" s="390" t="str">
        <f>VLOOKUP($J257,'17-1（所得細目表)'!$B$9:$M$45,11,0)</f>
        <v/>
      </c>
      <c r="M262" s="390" t="str">
        <f>VLOOKUP($J257,'17-1（所得細目表)'!$B$9:$M$45,12,0)</f>
        <v/>
      </c>
    </row>
    <row r="264" spans="2:13">
      <c r="C264" s="1" t="s">
        <v>213</v>
      </c>
    </row>
    <row r="266" spans="2:13">
      <c r="B266" s="440"/>
      <c r="C266" s="440"/>
      <c r="D266" s="440"/>
      <c r="E266" s="440"/>
      <c r="F266" s="440"/>
      <c r="G266" s="440"/>
      <c r="H266" s="440"/>
      <c r="I266" s="440"/>
      <c r="J266" s="440"/>
      <c r="K266" s="440"/>
      <c r="L266" s="440"/>
      <c r="M266" s="440"/>
    </row>
    <row r="268" spans="2:13" ht="14.25">
      <c r="E268" s="445">
        <f>'2（収支報告書)'!$A$9</f>
        <v>7</v>
      </c>
      <c r="F268" s="445"/>
      <c r="G268" s="445"/>
      <c r="H268" s="445"/>
      <c r="I268" s="445"/>
      <c r="J268" s="445"/>
    </row>
    <row r="270" spans="2:13" ht="12.75" customHeight="1">
      <c r="J270" s="209"/>
    </row>
    <row r="271" spans="2:13" ht="13.5" customHeight="1">
      <c r="F271" s="209" t="s">
        <v>39</v>
      </c>
      <c r="G271" s="446" t="str">
        <f>IF($J271="","",'2（収支報告書)'!$E$6)</f>
        <v/>
      </c>
      <c r="H271" s="450" t="s">
        <v>204</v>
      </c>
      <c r="I271" s="450"/>
      <c r="J271" s="456" t="str">
        <f>IF('17-1（所得細目表)'!$B28="","",'17-1（所得細目表)'!$B28)</f>
        <v/>
      </c>
      <c r="L271" s="209">
        <f>VLOOKUP($J271,'17-1（所得細目表)'!$B$9:$M$45,2,0)</f>
        <v>0</v>
      </c>
      <c r="M271" s="458" t="s">
        <v>207</v>
      </c>
    </row>
    <row r="272" spans="2:13">
      <c r="D272" s="273"/>
      <c r="K272" s="273"/>
    </row>
    <row r="273" spans="2:13">
      <c r="B273" s="437" t="s">
        <v>140</v>
      </c>
      <c r="C273" s="441" t="s">
        <v>99</v>
      </c>
      <c r="E273" s="437" t="s">
        <v>186</v>
      </c>
      <c r="F273" s="437" t="s">
        <v>187</v>
      </c>
      <c r="G273" s="447"/>
      <c r="H273" s="451"/>
      <c r="I273" s="447" t="s">
        <v>33</v>
      </c>
      <c r="J273" s="441" t="s">
        <v>60</v>
      </c>
      <c r="L273" s="437" t="s">
        <v>172</v>
      </c>
      <c r="M273" s="459"/>
    </row>
    <row r="274" spans="2:13">
      <c r="B274" s="438" t="s">
        <v>105</v>
      </c>
      <c r="C274" s="442" t="s">
        <v>3</v>
      </c>
      <c r="E274" s="438" t="s">
        <v>86</v>
      </c>
      <c r="F274" s="438" t="s">
        <v>208</v>
      </c>
      <c r="G274" s="448" t="s">
        <v>110</v>
      </c>
      <c r="H274" s="452" t="s">
        <v>210</v>
      </c>
      <c r="I274" s="455" t="s">
        <v>53</v>
      </c>
      <c r="J274" s="442" t="s">
        <v>192</v>
      </c>
      <c r="L274" s="438" t="s">
        <v>193</v>
      </c>
      <c r="M274" s="442" t="s">
        <v>189</v>
      </c>
    </row>
    <row r="275" spans="2:13">
      <c r="B275" s="439"/>
      <c r="C275" s="443" t="s">
        <v>195</v>
      </c>
      <c r="D275" s="444"/>
      <c r="E275" s="439" t="s">
        <v>196</v>
      </c>
      <c r="F275" s="439"/>
      <c r="G275" s="449" t="s">
        <v>69</v>
      </c>
      <c r="H275" s="453" t="s">
        <v>211</v>
      </c>
      <c r="I275" s="454" t="s">
        <v>199</v>
      </c>
      <c r="J275" s="443"/>
      <c r="K275" s="457"/>
      <c r="L275" s="439" t="s">
        <v>200</v>
      </c>
      <c r="M275" s="443" t="s">
        <v>201</v>
      </c>
    </row>
    <row r="276" spans="2:13" ht="30.75" customHeight="1">
      <c r="B276" s="390" t="str">
        <f>VLOOKUP($J271,'17-1（所得細目表)'!$B$9:$M$45,3,0)</f>
        <v/>
      </c>
      <c r="C276" s="390" t="str">
        <f>VLOOKUP($J271,'17-1（所得細目表)'!$B$9:$M$45,4,0)</f>
        <v/>
      </c>
      <c r="D276" s="390"/>
      <c r="E276" s="390" t="str">
        <f>VLOOKUP($J271,'17-1（所得細目表)'!$B$9:$M$45,5,0)</f>
        <v/>
      </c>
      <c r="F276" s="390" t="str">
        <f>VLOOKUP($J271,'17-1（所得細目表)'!$B$9:$M$45,6,0)</f>
        <v/>
      </c>
      <c r="G276" s="390">
        <f>VLOOKUP($J271,'17-1（所得細目表)'!$B$9:$M$45,7,0)</f>
        <v>0</v>
      </c>
      <c r="H276" s="390">
        <f>VLOOKUP($J271,'17-1（所得細目表)'!$B$9:$M$45,8,0)</f>
        <v>0</v>
      </c>
      <c r="I276" s="390" t="str">
        <f>VLOOKUP($J271,'17-1（所得細目表)'!$B$9:$M$45,9,0)</f>
        <v/>
      </c>
      <c r="J276" s="390" t="str">
        <f>VLOOKUP($J271,'17-1（所得細目表)'!$B$9:$M$45,10,0)</f>
        <v/>
      </c>
      <c r="K276" s="390"/>
      <c r="L276" s="390" t="str">
        <f>VLOOKUP($J271,'17-1（所得細目表)'!$B$9:$M$45,11,0)</f>
        <v/>
      </c>
      <c r="M276" s="390" t="str">
        <f>VLOOKUP($J271,'17-1（所得細目表)'!$B$9:$M$45,12,0)</f>
        <v/>
      </c>
    </row>
    <row r="278" spans="2:13">
      <c r="C278" s="1" t="s">
        <v>213</v>
      </c>
    </row>
    <row r="280" spans="2:13">
      <c r="B280" s="440"/>
      <c r="C280" s="440"/>
      <c r="D280" s="440"/>
      <c r="E280" s="440"/>
      <c r="F280" s="440"/>
      <c r="G280" s="440"/>
      <c r="H280" s="440"/>
      <c r="I280" s="440"/>
      <c r="J280" s="440"/>
      <c r="K280" s="440"/>
      <c r="L280" s="440"/>
      <c r="M280" s="440"/>
    </row>
    <row r="282" spans="2:13" ht="14.25">
      <c r="E282" s="445">
        <f>'2（収支報告書)'!$A$9</f>
        <v>7</v>
      </c>
      <c r="F282" s="445"/>
      <c r="G282" s="445"/>
      <c r="H282" s="445"/>
      <c r="I282" s="445"/>
      <c r="J282" s="445"/>
    </row>
    <row r="284" spans="2:13" ht="12.75" customHeight="1">
      <c r="J284" s="209"/>
    </row>
    <row r="285" spans="2:13" ht="13.5" customHeight="1">
      <c r="F285" s="209" t="s">
        <v>39</v>
      </c>
      <c r="G285" s="446" t="str">
        <f>IF($J285="","",'2（収支報告書)'!$E$6)</f>
        <v/>
      </c>
      <c r="H285" s="450" t="s">
        <v>204</v>
      </c>
      <c r="I285" s="450"/>
      <c r="J285" s="456" t="str">
        <f>IF('17-1（所得細目表)'!$B29="","",'17-1（所得細目表)'!$B29)</f>
        <v/>
      </c>
      <c r="L285" s="209">
        <f>VLOOKUP($J285,'17-1（所得細目表)'!$B$9:$M$45,2,0)</f>
        <v>0</v>
      </c>
      <c r="M285" s="458" t="s">
        <v>207</v>
      </c>
    </row>
    <row r="286" spans="2:13">
      <c r="D286" s="273"/>
      <c r="K286" s="273"/>
    </row>
    <row r="287" spans="2:13">
      <c r="B287" s="437" t="s">
        <v>140</v>
      </c>
      <c r="C287" s="441" t="s">
        <v>99</v>
      </c>
      <c r="E287" s="437" t="s">
        <v>186</v>
      </c>
      <c r="F287" s="437" t="s">
        <v>187</v>
      </c>
      <c r="G287" s="447"/>
      <c r="H287" s="451"/>
      <c r="I287" s="447" t="s">
        <v>33</v>
      </c>
      <c r="J287" s="441" t="s">
        <v>60</v>
      </c>
      <c r="L287" s="437" t="s">
        <v>172</v>
      </c>
      <c r="M287" s="459"/>
    </row>
    <row r="288" spans="2:13">
      <c r="B288" s="438" t="s">
        <v>105</v>
      </c>
      <c r="C288" s="442" t="s">
        <v>3</v>
      </c>
      <c r="E288" s="438" t="s">
        <v>86</v>
      </c>
      <c r="F288" s="438" t="s">
        <v>208</v>
      </c>
      <c r="G288" s="448" t="s">
        <v>110</v>
      </c>
      <c r="H288" s="452" t="s">
        <v>210</v>
      </c>
      <c r="I288" s="455" t="s">
        <v>53</v>
      </c>
      <c r="J288" s="442" t="s">
        <v>192</v>
      </c>
      <c r="L288" s="438" t="s">
        <v>193</v>
      </c>
      <c r="M288" s="442" t="s">
        <v>189</v>
      </c>
    </row>
    <row r="289" spans="2:13">
      <c r="B289" s="439"/>
      <c r="C289" s="443" t="s">
        <v>195</v>
      </c>
      <c r="D289" s="444"/>
      <c r="E289" s="439" t="s">
        <v>196</v>
      </c>
      <c r="F289" s="439"/>
      <c r="G289" s="449" t="s">
        <v>69</v>
      </c>
      <c r="H289" s="453" t="s">
        <v>211</v>
      </c>
      <c r="I289" s="454" t="s">
        <v>199</v>
      </c>
      <c r="J289" s="443"/>
      <c r="K289" s="457"/>
      <c r="L289" s="439" t="s">
        <v>200</v>
      </c>
      <c r="M289" s="443" t="s">
        <v>201</v>
      </c>
    </row>
    <row r="290" spans="2:13" ht="30.75" customHeight="1">
      <c r="B290" s="390" t="str">
        <f>VLOOKUP($J285,'17-1（所得細目表)'!$B$9:$M$45,3,0)</f>
        <v/>
      </c>
      <c r="C290" s="390" t="str">
        <f>VLOOKUP($J285,'17-1（所得細目表)'!$B$9:$M$45,4,0)</f>
        <v/>
      </c>
      <c r="D290" s="390"/>
      <c r="E290" s="390" t="str">
        <f>VLOOKUP($J285,'17-1（所得細目表)'!$B$9:$M$45,5,0)</f>
        <v/>
      </c>
      <c r="F290" s="390" t="str">
        <f>VLOOKUP($J285,'17-1（所得細目表)'!$B$9:$M$45,6,0)</f>
        <v/>
      </c>
      <c r="G290" s="390">
        <f>VLOOKUP($J285,'17-1（所得細目表)'!$B$9:$M$45,7,0)</f>
        <v>0</v>
      </c>
      <c r="H290" s="390">
        <f>VLOOKUP($J285,'17-1（所得細目表)'!$B$9:$M$45,8,0)</f>
        <v>0</v>
      </c>
      <c r="I290" s="390" t="str">
        <f>VLOOKUP($J285,'17-1（所得細目表)'!$B$9:$M$45,9,0)</f>
        <v/>
      </c>
      <c r="J290" s="390" t="str">
        <f>VLOOKUP($J285,'17-1（所得細目表)'!$B$9:$M$45,10,0)</f>
        <v/>
      </c>
      <c r="K290" s="390"/>
      <c r="L290" s="390" t="str">
        <f>VLOOKUP($J285,'17-1（所得細目表)'!$B$9:$M$45,11,0)</f>
        <v/>
      </c>
      <c r="M290" s="390" t="str">
        <f>VLOOKUP($J285,'17-1（所得細目表)'!$B$9:$M$45,12,0)</f>
        <v/>
      </c>
    </row>
    <row r="292" spans="2:13">
      <c r="C292" s="1" t="s">
        <v>213</v>
      </c>
    </row>
    <row r="294" spans="2:13">
      <c r="B294" s="440"/>
      <c r="C294" s="440"/>
      <c r="D294" s="440"/>
      <c r="E294" s="440"/>
      <c r="F294" s="440"/>
      <c r="G294" s="440"/>
      <c r="H294" s="440"/>
      <c r="I294" s="440"/>
      <c r="J294" s="440"/>
      <c r="K294" s="440"/>
      <c r="L294" s="440"/>
      <c r="M294" s="440"/>
    </row>
    <row r="296" spans="2:13" ht="14.25">
      <c r="E296" s="445">
        <f>'2（収支報告書)'!$A$9</f>
        <v>7</v>
      </c>
      <c r="F296" s="445"/>
      <c r="G296" s="445"/>
      <c r="H296" s="445"/>
      <c r="I296" s="445"/>
      <c r="J296" s="445"/>
    </row>
    <row r="298" spans="2:13" ht="12.75" customHeight="1">
      <c r="J298" s="209"/>
    </row>
    <row r="299" spans="2:13" ht="13.5" customHeight="1">
      <c r="F299" s="209" t="s">
        <v>39</v>
      </c>
      <c r="G299" s="446" t="str">
        <f>IF($J299="","",'2（収支報告書)'!$E$6)</f>
        <v/>
      </c>
      <c r="H299" s="450" t="s">
        <v>204</v>
      </c>
      <c r="I299" s="450"/>
      <c r="J299" s="456" t="str">
        <f>IF('17-1（所得細目表)'!$B30="","",'17-1（所得細目表)'!$B30)</f>
        <v/>
      </c>
      <c r="L299" s="209">
        <f>VLOOKUP($J299,'17-1（所得細目表)'!$B$9:$M$45,2,0)</f>
        <v>0</v>
      </c>
      <c r="M299" s="458" t="s">
        <v>207</v>
      </c>
    </row>
    <row r="300" spans="2:13">
      <c r="D300" s="273"/>
      <c r="K300" s="273"/>
    </row>
    <row r="301" spans="2:13">
      <c r="B301" s="437" t="s">
        <v>140</v>
      </c>
      <c r="C301" s="441" t="s">
        <v>99</v>
      </c>
      <c r="E301" s="437" t="s">
        <v>186</v>
      </c>
      <c r="F301" s="437" t="s">
        <v>187</v>
      </c>
      <c r="G301" s="447"/>
      <c r="H301" s="451"/>
      <c r="I301" s="447" t="s">
        <v>33</v>
      </c>
      <c r="J301" s="441" t="s">
        <v>60</v>
      </c>
      <c r="L301" s="437" t="s">
        <v>172</v>
      </c>
      <c r="M301" s="459"/>
    </row>
    <row r="302" spans="2:13">
      <c r="B302" s="438" t="s">
        <v>105</v>
      </c>
      <c r="C302" s="442" t="s">
        <v>3</v>
      </c>
      <c r="E302" s="438" t="s">
        <v>86</v>
      </c>
      <c r="F302" s="438" t="s">
        <v>208</v>
      </c>
      <c r="G302" s="448" t="s">
        <v>110</v>
      </c>
      <c r="H302" s="452" t="s">
        <v>210</v>
      </c>
      <c r="I302" s="455" t="s">
        <v>53</v>
      </c>
      <c r="J302" s="442" t="s">
        <v>192</v>
      </c>
      <c r="L302" s="438" t="s">
        <v>193</v>
      </c>
      <c r="M302" s="442" t="s">
        <v>189</v>
      </c>
    </row>
    <row r="303" spans="2:13">
      <c r="B303" s="439"/>
      <c r="C303" s="443" t="s">
        <v>195</v>
      </c>
      <c r="D303" s="444"/>
      <c r="E303" s="439" t="s">
        <v>196</v>
      </c>
      <c r="F303" s="439"/>
      <c r="G303" s="449" t="s">
        <v>69</v>
      </c>
      <c r="H303" s="453" t="s">
        <v>211</v>
      </c>
      <c r="I303" s="454" t="s">
        <v>199</v>
      </c>
      <c r="J303" s="443"/>
      <c r="K303" s="457"/>
      <c r="L303" s="439" t="s">
        <v>200</v>
      </c>
      <c r="M303" s="443" t="s">
        <v>201</v>
      </c>
    </row>
    <row r="304" spans="2:13" ht="30.75" customHeight="1">
      <c r="B304" s="390" t="str">
        <f>VLOOKUP($J299,'17-1（所得細目表)'!$B$9:$M$45,3,0)</f>
        <v/>
      </c>
      <c r="C304" s="390" t="str">
        <f>VLOOKUP($J299,'17-1（所得細目表)'!$B$9:$M$45,4,0)</f>
        <v/>
      </c>
      <c r="D304" s="390"/>
      <c r="E304" s="390" t="str">
        <f>VLOOKUP($J299,'17-1（所得細目表)'!$B$9:$M$45,5,0)</f>
        <v/>
      </c>
      <c r="F304" s="390" t="str">
        <f>VLOOKUP($J299,'17-1（所得細目表)'!$B$9:$M$45,6,0)</f>
        <v/>
      </c>
      <c r="G304" s="390">
        <f>VLOOKUP($J299,'17-1（所得細目表)'!$B$9:$M$45,7,0)</f>
        <v>0</v>
      </c>
      <c r="H304" s="390">
        <f>VLOOKUP($J299,'17-1（所得細目表)'!$B$9:$M$45,8,0)</f>
        <v>0</v>
      </c>
      <c r="I304" s="390" t="str">
        <f>VLOOKUP($J299,'17-1（所得細目表)'!$B$9:$M$45,9,0)</f>
        <v/>
      </c>
      <c r="J304" s="390" t="str">
        <f>VLOOKUP($J299,'17-1（所得細目表)'!$B$9:$M$45,10,0)</f>
        <v/>
      </c>
      <c r="K304" s="390"/>
      <c r="L304" s="390" t="str">
        <f>VLOOKUP($J299,'17-1（所得細目表)'!$B$9:$M$45,11,0)</f>
        <v/>
      </c>
      <c r="M304" s="390" t="str">
        <f>VLOOKUP($J299,'17-1（所得細目表)'!$B$9:$M$45,12,0)</f>
        <v/>
      </c>
    </row>
    <row r="306" spans="2:13">
      <c r="C306" s="1" t="s">
        <v>213</v>
      </c>
    </row>
    <row r="308" spans="2:13">
      <c r="B308" s="440"/>
      <c r="C308" s="440"/>
      <c r="D308" s="440"/>
      <c r="E308" s="440"/>
      <c r="F308" s="440"/>
      <c r="G308" s="440"/>
      <c r="H308" s="440"/>
      <c r="I308" s="440"/>
      <c r="J308" s="440"/>
      <c r="K308" s="440"/>
      <c r="L308" s="440"/>
      <c r="M308" s="440"/>
    </row>
    <row r="310" spans="2:13" ht="14.25">
      <c r="E310" s="445">
        <f>'2（収支報告書)'!$A$9</f>
        <v>7</v>
      </c>
      <c r="F310" s="445"/>
      <c r="G310" s="445"/>
      <c r="H310" s="445"/>
      <c r="I310" s="445"/>
      <c r="J310" s="445"/>
    </row>
    <row r="312" spans="2:13" ht="12.75" customHeight="1">
      <c r="J312" s="209"/>
    </row>
    <row r="313" spans="2:13" ht="13.5" customHeight="1">
      <c r="F313" s="209" t="s">
        <v>39</v>
      </c>
      <c r="G313" s="446" t="str">
        <f>IF($J313="","",'2（収支報告書)'!$E$6)</f>
        <v/>
      </c>
      <c r="H313" s="450" t="s">
        <v>204</v>
      </c>
      <c r="I313" s="450"/>
      <c r="J313" s="456" t="str">
        <f>IF('17-1（所得細目表)'!$B31="","",'17-1（所得細目表)'!$B31)</f>
        <v/>
      </c>
      <c r="L313" s="209">
        <f>VLOOKUP($J313,'17-1（所得細目表)'!$B$9:$M$45,2,0)</f>
        <v>0</v>
      </c>
      <c r="M313" s="458" t="s">
        <v>207</v>
      </c>
    </row>
    <row r="314" spans="2:13">
      <c r="D314" s="273"/>
      <c r="K314" s="273"/>
    </row>
    <row r="315" spans="2:13">
      <c r="B315" s="437" t="s">
        <v>140</v>
      </c>
      <c r="C315" s="441" t="s">
        <v>99</v>
      </c>
      <c r="E315" s="437" t="s">
        <v>186</v>
      </c>
      <c r="F315" s="437" t="s">
        <v>187</v>
      </c>
      <c r="G315" s="447"/>
      <c r="H315" s="451"/>
      <c r="I315" s="447" t="s">
        <v>33</v>
      </c>
      <c r="J315" s="441" t="s">
        <v>60</v>
      </c>
      <c r="L315" s="437" t="s">
        <v>172</v>
      </c>
      <c r="M315" s="459"/>
    </row>
    <row r="316" spans="2:13">
      <c r="B316" s="438" t="s">
        <v>105</v>
      </c>
      <c r="C316" s="442" t="s">
        <v>3</v>
      </c>
      <c r="E316" s="438" t="s">
        <v>86</v>
      </c>
      <c r="F316" s="438" t="s">
        <v>208</v>
      </c>
      <c r="G316" s="448" t="s">
        <v>110</v>
      </c>
      <c r="H316" s="452" t="s">
        <v>210</v>
      </c>
      <c r="I316" s="455" t="s">
        <v>53</v>
      </c>
      <c r="J316" s="442" t="s">
        <v>192</v>
      </c>
      <c r="L316" s="438" t="s">
        <v>193</v>
      </c>
      <c r="M316" s="442" t="s">
        <v>189</v>
      </c>
    </row>
    <row r="317" spans="2:13">
      <c r="B317" s="439"/>
      <c r="C317" s="443" t="s">
        <v>195</v>
      </c>
      <c r="D317" s="444"/>
      <c r="E317" s="439" t="s">
        <v>196</v>
      </c>
      <c r="F317" s="439"/>
      <c r="G317" s="449" t="s">
        <v>69</v>
      </c>
      <c r="H317" s="453" t="s">
        <v>211</v>
      </c>
      <c r="I317" s="454" t="s">
        <v>199</v>
      </c>
      <c r="J317" s="443"/>
      <c r="K317" s="457"/>
      <c r="L317" s="439" t="s">
        <v>200</v>
      </c>
      <c r="M317" s="443" t="s">
        <v>201</v>
      </c>
    </row>
    <row r="318" spans="2:13" ht="30.75" customHeight="1">
      <c r="B318" s="390" t="str">
        <f>VLOOKUP($J313,'17-1（所得細目表)'!$B$9:$M$45,3,0)</f>
        <v/>
      </c>
      <c r="C318" s="390" t="str">
        <f>VLOOKUP($J313,'17-1（所得細目表)'!$B$9:$M$45,4,0)</f>
        <v/>
      </c>
      <c r="D318" s="390"/>
      <c r="E318" s="390" t="str">
        <f>VLOOKUP($J313,'17-1（所得細目表)'!$B$9:$M$45,5,0)</f>
        <v/>
      </c>
      <c r="F318" s="390" t="str">
        <f>VLOOKUP($J313,'17-1（所得細目表)'!$B$9:$M$45,6,0)</f>
        <v/>
      </c>
      <c r="G318" s="390">
        <f>VLOOKUP($J313,'17-1（所得細目表)'!$B$9:$M$45,7,0)</f>
        <v>0</v>
      </c>
      <c r="H318" s="390">
        <f>VLOOKUP($J313,'17-1（所得細目表)'!$B$9:$M$45,8,0)</f>
        <v>0</v>
      </c>
      <c r="I318" s="390" t="str">
        <f>VLOOKUP($J313,'17-1（所得細目表)'!$B$9:$M$45,9,0)</f>
        <v/>
      </c>
      <c r="J318" s="390" t="str">
        <f>VLOOKUP($J313,'17-1（所得細目表)'!$B$9:$M$45,10,0)</f>
        <v/>
      </c>
      <c r="K318" s="390"/>
      <c r="L318" s="390" t="str">
        <f>VLOOKUP($J313,'17-1（所得細目表)'!$B$9:$M$45,11,0)</f>
        <v/>
      </c>
      <c r="M318" s="390" t="str">
        <f>VLOOKUP($J313,'17-1（所得細目表)'!$B$9:$M$45,12,0)</f>
        <v/>
      </c>
    </row>
    <row r="320" spans="2:13">
      <c r="C320" s="1" t="s">
        <v>213</v>
      </c>
    </row>
    <row r="322" spans="2:13">
      <c r="B322" s="440"/>
      <c r="C322" s="440"/>
      <c r="D322" s="440"/>
      <c r="E322" s="440"/>
      <c r="F322" s="440"/>
      <c r="G322" s="440"/>
      <c r="H322" s="440"/>
      <c r="I322" s="440"/>
      <c r="J322" s="440"/>
      <c r="K322" s="440"/>
      <c r="L322" s="440"/>
      <c r="M322" s="440"/>
    </row>
    <row r="324" spans="2:13" ht="14.25">
      <c r="E324" s="445">
        <f>'2（収支報告書)'!$A$9</f>
        <v>7</v>
      </c>
      <c r="F324" s="445"/>
      <c r="G324" s="445"/>
      <c r="H324" s="445"/>
      <c r="I324" s="445"/>
      <c r="J324" s="445"/>
    </row>
    <row r="326" spans="2:13" ht="12.75" customHeight="1">
      <c r="J326" s="209"/>
    </row>
    <row r="327" spans="2:13" ht="13.5" customHeight="1">
      <c r="F327" s="209" t="s">
        <v>39</v>
      </c>
      <c r="G327" s="446" t="str">
        <f>IF($J327="","",'2（収支報告書)'!$E$6)</f>
        <v/>
      </c>
      <c r="H327" s="450" t="s">
        <v>204</v>
      </c>
      <c r="I327" s="450"/>
      <c r="J327" s="456" t="str">
        <f>IF('17-1（所得細目表)'!$B32="","",'17-1（所得細目表)'!$B32)</f>
        <v/>
      </c>
      <c r="L327" s="209">
        <f>VLOOKUP($J327,'17-1（所得細目表)'!$B$9:$M$45,2,0)</f>
        <v>0</v>
      </c>
      <c r="M327" s="458" t="s">
        <v>207</v>
      </c>
    </row>
    <row r="328" spans="2:13">
      <c r="D328" s="273"/>
      <c r="K328" s="273"/>
    </row>
    <row r="329" spans="2:13">
      <c r="B329" s="437" t="s">
        <v>140</v>
      </c>
      <c r="C329" s="441" t="s">
        <v>99</v>
      </c>
      <c r="E329" s="437" t="s">
        <v>186</v>
      </c>
      <c r="F329" s="437" t="s">
        <v>187</v>
      </c>
      <c r="G329" s="447"/>
      <c r="H329" s="451"/>
      <c r="I329" s="447" t="s">
        <v>33</v>
      </c>
      <c r="J329" s="441" t="s">
        <v>60</v>
      </c>
      <c r="L329" s="437" t="s">
        <v>172</v>
      </c>
      <c r="M329" s="459"/>
    </row>
    <row r="330" spans="2:13">
      <c r="B330" s="438" t="s">
        <v>105</v>
      </c>
      <c r="C330" s="442" t="s">
        <v>3</v>
      </c>
      <c r="E330" s="438" t="s">
        <v>86</v>
      </c>
      <c r="F330" s="438" t="s">
        <v>208</v>
      </c>
      <c r="G330" s="448" t="s">
        <v>110</v>
      </c>
      <c r="H330" s="452" t="s">
        <v>210</v>
      </c>
      <c r="I330" s="455" t="s">
        <v>53</v>
      </c>
      <c r="J330" s="442" t="s">
        <v>192</v>
      </c>
      <c r="L330" s="438" t="s">
        <v>193</v>
      </c>
      <c r="M330" s="442" t="s">
        <v>189</v>
      </c>
    </row>
    <row r="331" spans="2:13">
      <c r="B331" s="439"/>
      <c r="C331" s="443" t="s">
        <v>195</v>
      </c>
      <c r="D331" s="444"/>
      <c r="E331" s="439" t="s">
        <v>196</v>
      </c>
      <c r="F331" s="439"/>
      <c r="G331" s="449" t="s">
        <v>69</v>
      </c>
      <c r="H331" s="453" t="s">
        <v>211</v>
      </c>
      <c r="I331" s="454" t="s">
        <v>199</v>
      </c>
      <c r="J331" s="443"/>
      <c r="K331" s="457"/>
      <c r="L331" s="439" t="s">
        <v>200</v>
      </c>
      <c r="M331" s="443" t="s">
        <v>201</v>
      </c>
    </row>
    <row r="332" spans="2:13" ht="30.75" customHeight="1">
      <c r="B332" s="390" t="str">
        <f>VLOOKUP($J327,'17-1（所得細目表)'!$B$9:$M$45,3,0)</f>
        <v/>
      </c>
      <c r="C332" s="390" t="str">
        <f>VLOOKUP($J327,'17-1（所得細目表)'!$B$9:$M$45,4,0)</f>
        <v/>
      </c>
      <c r="D332" s="390"/>
      <c r="E332" s="390" t="str">
        <f>VLOOKUP($J327,'17-1（所得細目表)'!$B$9:$M$45,5,0)</f>
        <v/>
      </c>
      <c r="F332" s="390" t="str">
        <f>VLOOKUP($J327,'17-1（所得細目表)'!$B$9:$M$45,6,0)</f>
        <v/>
      </c>
      <c r="G332" s="390">
        <f>VLOOKUP($J327,'17-1（所得細目表)'!$B$9:$M$45,7,0)</f>
        <v>0</v>
      </c>
      <c r="H332" s="390">
        <f>VLOOKUP($J327,'17-1（所得細目表)'!$B$9:$M$45,8,0)</f>
        <v>0</v>
      </c>
      <c r="I332" s="390" t="str">
        <f>VLOOKUP($J327,'17-1（所得細目表)'!$B$9:$M$45,9,0)</f>
        <v/>
      </c>
      <c r="J332" s="390" t="str">
        <f>VLOOKUP($J327,'17-1（所得細目表)'!$B$9:$M$45,10,0)</f>
        <v/>
      </c>
      <c r="K332" s="390"/>
      <c r="L332" s="390" t="str">
        <f>VLOOKUP($J327,'17-1（所得細目表)'!$B$9:$M$45,11,0)</f>
        <v/>
      </c>
      <c r="M332" s="390" t="str">
        <f>VLOOKUP($J327,'17-1（所得細目表)'!$B$9:$M$45,12,0)</f>
        <v/>
      </c>
    </row>
    <row r="334" spans="2:13">
      <c r="C334" s="1" t="s">
        <v>213</v>
      </c>
    </row>
    <row r="336" spans="2:13">
      <c r="B336" s="440"/>
      <c r="C336" s="440"/>
      <c r="D336" s="440"/>
      <c r="E336" s="440"/>
      <c r="F336" s="440"/>
      <c r="G336" s="440"/>
      <c r="H336" s="440"/>
      <c r="I336" s="440"/>
      <c r="J336" s="440"/>
      <c r="K336" s="440"/>
      <c r="L336" s="440"/>
      <c r="M336" s="440"/>
    </row>
    <row r="338" spans="2:13" ht="14.25">
      <c r="E338" s="445">
        <f>'2（収支報告書)'!$A$9</f>
        <v>7</v>
      </c>
      <c r="F338" s="445"/>
      <c r="G338" s="445"/>
      <c r="H338" s="445"/>
      <c r="I338" s="445"/>
      <c r="J338" s="445"/>
    </row>
    <row r="340" spans="2:13" ht="12.75" customHeight="1">
      <c r="J340" s="209"/>
    </row>
    <row r="341" spans="2:13" ht="13.5" customHeight="1">
      <c r="F341" s="209" t="s">
        <v>39</v>
      </c>
      <c r="G341" s="446" t="str">
        <f>IF($J341="","",'2（収支報告書)'!$E$6)</f>
        <v/>
      </c>
      <c r="H341" s="450" t="s">
        <v>204</v>
      </c>
      <c r="I341" s="450"/>
      <c r="J341" s="456" t="str">
        <f>IF('17-1（所得細目表)'!$B33="","",'17-1（所得細目表)'!$B33)</f>
        <v/>
      </c>
      <c r="L341" s="209">
        <f>VLOOKUP($J341,'17-1（所得細目表)'!$B$9:$M$45,2,0)</f>
        <v>0</v>
      </c>
      <c r="M341" s="458" t="s">
        <v>207</v>
      </c>
    </row>
    <row r="342" spans="2:13">
      <c r="D342" s="273"/>
      <c r="K342" s="273"/>
    </row>
    <row r="343" spans="2:13">
      <c r="B343" s="437" t="s">
        <v>140</v>
      </c>
      <c r="C343" s="441" t="s">
        <v>99</v>
      </c>
      <c r="E343" s="437" t="s">
        <v>186</v>
      </c>
      <c r="F343" s="437" t="s">
        <v>187</v>
      </c>
      <c r="G343" s="447"/>
      <c r="H343" s="451"/>
      <c r="I343" s="447" t="s">
        <v>33</v>
      </c>
      <c r="J343" s="441" t="s">
        <v>60</v>
      </c>
      <c r="L343" s="437" t="s">
        <v>172</v>
      </c>
      <c r="M343" s="459"/>
    </row>
    <row r="344" spans="2:13">
      <c r="B344" s="438" t="s">
        <v>105</v>
      </c>
      <c r="C344" s="442" t="s">
        <v>3</v>
      </c>
      <c r="E344" s="438" t="s">
        <v>86</v>
      </c>
      <c r="F344" s="438" t="s">
        <v>208</v>
      </c>
      <c r="G344" s="448" t="s">
        <v>110</v>
      </c>
      <c r="H344" s="452" t="s">
        <v>210</v>
      </c>
      <c r="I344" s="455" t="s">
        <v>53</v>
      </c>
      <c r="J344" s="442" t="s">
        <v>192</v>
      </c>
      <c r="L344" s="438" t="s">
        <v>193</v>
      </c>
      <c r="M344" s="442" t="s">
        <v>189</v>
      </c>
    </row>
    <row r="345" spans="2:13">
      <c r="B345" s="439"/>
      <c r="C345" s="443" t="s">
        <v>195</v>
      </c>
      <c r="D345" s="444"/>
      <c r="E345" s="439" t="s">
        <v>196</v>
      </c>
      <c r="F345" s="439"/>
      <c r="G345" s="449" t="s">
        <v>69</v>
      </c>
      <c r="H345" s="453" t="s">
        <v>211</v>
      </c>
      <c r="I345" s="454" t="s">
        <v>199</v>
      </c>
      <c r="J345" s="443"/>
      <c r="K345" s="457"/>
      <c r="L345" s="439" t="s">
        <v>200</v>
      </c>
      <c r="M345" s="443" t="s">
        <v>201</v>
      </c>
    </row>
    <row r="346" spans="2:13" ht="30.75" customHeight="1">
      <c r="B346" s="390" t="str">
        <f>VLOOKUP($J341,'17-1（所得細目表)'!$B$9:$M$45,3,0)</f>
        <v/>
      </c>
      <c r="C346" s="390" t="str">
        <f>VLOOKUP($J341,'17-1（所得細目表)'!$B$9:$M$45,4,0)</f>
        <v/>
      </c>
      <c r="D346" s="390"/>
      <c r="E346" s="390" t="str">
        <f>VLOOKUP($J341,'17-1（所得細目表)'!$B$9:$M$45,5,0)</f>
        <v/>
      </c>
      <c r="F346" s="390" t="str">
        <f>VLOOKUP($J341,'17-1（所得細目表)'!$B$9:$M$45,6,0)</f>
        <v/>
      </c>
      <c r="G346" s="390">
        <f>VLOOKUP($J341,'17-1（所得細目表)'!$B$9:$M$45,7,0)</f>
        <v>0</v>
      </c>
      <c r="H346" s="390">
        <f>VLOOKUP($J341,'17-1（所得細目表)'!$B$9:$M$45,8,0)</f>
        <v>0</v>
      </c>
      <c r="I346" s="390" t="str">
        <f>VLOOKUP($J341,'17-1（所得細目表)'!$B$9:$M$45,9,0)</f>
        <v/>
      </c>
      <c r="J346" s="390" t="str">
        <f>VLOOKUP($J341,'17-1（所得細目表)'!$B$9:$M$45,10,0)</f>
        <v/>
      </c>
      <c r="K346" s="390"/>
      <c r="L346" s="390" t="str">
        <f>VLOOKUP($J341,'17-1（所得細目表)'!$B$9:$M$45,11,0)</f>
        <v/>
      </c>
      <c r="M346" s="390" t="str">
        <f>VLOOKUP($J341,'17-1（所得細目表)'!$B$9:$M$45,12,0)</f>
        <v/>
      </c>
    </row>
    <row r="348" spans="2:13">
      <c r="C348" s="1" t="s">
        <v>213</v>
      </c>
    </row>
    <row r="350" spans="2:13">
      <c r="B350" s="440"/>
      <c r="C350" s="440"/>
      <c r="D350" s="440"/>
      <c r="E350" s="440"/>
      <c r="F350" s="440"/>
      <c r="G350" s="440"/>
      <c r="H350" s="440"/>
      <c r="I350" s="440"/>
      <c r="J350" s="440"/>
      <c r="K350" s="440"/>
      <c r="L350" s="440"/>
      <c r="M350" s="440"/>
    </row>
    <row r="352" spans="2:13" ht="14.25">
      <c r="E352" s="445">
        <f>'2（収支報告書)'!$A$9</f>
        <v>7</v>
      </c>
      <c r="F352" s="445"/>
      <c r="G352" s="445"/>
      <c r="H352" s="445"/>
      <c r="I352" s="445"/>
      <c r="J352" s="445"/>
    </row>
    <row r="354" spans="2:13" ht="12.75" customHeight="1">
      <c r="J354" s="209"/>
    </row>
    <row r="355" spans="2:13" ht="13.5" customHeight="1">
      <c r="F355" s="209" t="s">
        <v>39</v>
      </c>
      <c r="G355" s="446" t="str">
        <f>IF($J355="","",'2（収支報告書)'!$E$6)</f>
        <v/>
      </c>
      <c r="H355" s="450" t="s">
        <v>204</v>
      </c>
      <c r="I355" s="450"/>
      <c r="J355" s="456" t="str">
        <f>IF('17-1（所得細目表)'!$B34="","",'17-1（所得細目表)'!$B34)</f>
        <v/>
      </c>
      <c r="L355" s="209">
        <f>VLOOKUP($J355,'17-1（所得細目表)'!$B$9:$M$45,2,0)</f>
        <v>0</v>
      </c>
      <c r="M355" s="458" t="s">
        <v>207</v>
      </c>
    </row>
    <row r="356" spans="2:13">
      <c r="D356" s="273"/>
      <c r="K356" s="273"/>
    </row>
    <row r="357" spans="2:13">
      <c r="B357" s="437" t="s">
        <v>140</v>
      </c>
      <c r="C357" s="441" t="s">
        <v>99</v>
      </c>
      <c r="E357" s="437" t="s">
        <v>186</v>
      </c>
      <c r="F357" s="437" t="s">
        <v>187</v>
      </c>
      <c r="G357" s="447"/>
      <c r="H357" s="451"/>
      <c r="I357" s="447" t="s">
        <v>33</v>
      </c>
      <c r="J357" s="441" t="s">
        <v>60</v>
      </c>
      <c r="L357" s="437" t="s">
        <v>172</v>
      </c>
      <c r="M357" s="459"/>
    </row>
    <row r="358" spans="2:13">
      <c r="B358" s="438" t="s">
        <v>105</v>
      </c>
      <c r="C358" s="442" t="s">
        <v>3</v>
      </c>
      <c r="E358" s="438" t="s">
        <v>86</v>
      </c>
      <c r="F358" s="438" t="s">
        <v>208</v>
      </c>
      <c r="G358" s="448" t="s">
        <v>110</v>
      </c>
      <c r="H358" s="452" t="s">
        <v>210</v>
      </c>
      <c r="I358" s="455" t="s">
        <v>53</v>
      </c>
      <c r="J358" s="442" t="s">
        <v>192</v>
      </c>
      <c r="L358" s="438" t="s">
        <v>193</v>
      </c>
      <c r="M358" s="442" t="s">
        <v>189</v>
      </c>
    </row>
    <row r="359" spans="2:13">
      <c r="B359" s="439"/>
      <c r="C359" s="443" t="s">
        <v>195</v>
      </c>
      <c r="D359" s="444"/>
      <c r="E359" s="439" t="s">
        <v>196</v>
      </c>
      <c r="F359" s="439"/>
      <c r="G359" s="449" t="s">
        <v>69</v>
      </c>
      <c r="H359" s="453" t="s">
        <v>211</v>
      </c>
      <c r="I359" s="454" t="s">
        <v>199</v>
      </c>
      <c r="J359" s="443"/>
      <c r="K359" s="457"/>
      <c r="L359" s="439" t="s">
        <v>200</v>
      </c>
      <c r="M359" s="443" t="s">
        <v>201</v>
      </c>
    </row>
    <row r="360" spans="2:13" ht="30.75" customHeight="1">
      <c r="B360" s="390" t="str">
        <f>VLOOKUP($J355,'17-1（所得細目表)'!$B$9:$M$45,3,0)</f>
        <v/>
      </c>
      <c r="C360" s="390" t="str">
        <f>VLOOKUP($J355,'17-1（所得細目表)'!$B$9:$M$45,4,0)</f>
        <v/>
      </c>
      <c r="D360" s="390"/>
      <c r="E360" s="390" t="str">
        <f>VLOOKUP($J355,'17-1（所得細目表)'!$B$9:$M$45,5,0)</f>
        <v/>
      </c>
      <c r="F360" s="390" t="str">
        <f>VLOOKUP($J355,'17-1（所得細目表)'!$B$9:$M$45,6,0)</f>
        <v/>
      </c>
      <c r="G360" s="390">
        <f>VLOOKUP($J355,'17-1（所得細目表)'!$B$9:$M$45,7,0)</f>
        <v>0</v>
      </c>
      <c r="H360" s="390">
        <f>VLOOKUP($J355,'17-1（所得細目表)'!$B$9:$M$45,8,0)</f>
        <v>0</v>
      </c>
      <c r="I360" s="390" t="str">
        <f>VLOOKUP($J355,'17-1（所得細目表)'!$B$9:$M$45,9,0)</f>
        <v/>
      </c>
      <c r="J360" s="390" t="str">
        <f>VLOOKUP($J355,'17-1（所得細目表)'!$B$9:$M$45,10,0)</f>
        <v/>
      </c>
      <c r="K360" s="390"/>
      <c r="L360" s="390" t="str">
        <f>VLOOKUP($J355,'17-1（所得細目表)'!$B$9:$M$45,11,0)</f>
        <v/>
      </c>
      <c r="M360" s="390" t="str">
        <f>VLOOKUP($J355,'17-1（所得細目表)'!$B$9:$M$45,12,0)</f>
        <v/>
      </c>
    </row>
    <row r="362" spans="2:13">
      <c r="C362" s="1" t="s">
        <v>213</v>
      </c>
    </row>
    <row r="364" spans="2:13">
      <c r="B364" s="440"/>
      <c r="C364" s="440"/>
      <c r="D364" s="440"/>
      <c r="E364" s="440"/>
      <c r="F364" s="440"/>
      <c r="G364" s="440"/>
      <c r="H364" s="440"/>
      <c r="I364" s="440"/>
      <c r="J364" s="440"/>
      <c r="K364" s="440"/>
      <c r="L364" s="440"/>
      <c r="M364" s="440"/>
    </row>
    <row r="366" spans="2:13" ht="14.25">
      <c r="E366" s="445">
        <f>'2（収支報告書)'!$A$9</f>
        <v>7</v>
      </c>
      <c r="F366" s="445"/>
      <c r="G366" s="445"/>
      <c r="H366" s="445"/>
      <c r="I366" s="445"/>
      <c r="J366" s="445"/>
    </row>
    <row r="368" spans="2:13" ht="12.75" customHeight="1">
      <c r="J368" s="209"/>
    </row>
    <row r="369" spans="2:13" ht="13.5" customHeight="1">
      <c r="F369" s="209" t="s">
        <v>39</v>
      </c>
      <c r="G369" s="446" t="str">
        <f>IF($J369="","",'2（収支報告書)'!$E$6)</f>
        <v/>
      </c>
      <c r="H369" s="450" t="s">
        <v>204</v>
      </c>
      <c r="I369" s="450"/>
      <c r="J369" s="456" t="str">
        <f>IF('17-1（所得細目表)'!$B35="","",'17-1（所得細目表)'!$B35)</f>
        <v/>
      </c>
      <c r="L369" s="209">
        <f>VLOOKUP($J369,'17-1（所得細目表)'!$B$9:$M$45,2,0)</f>
        <v>0</v>
      </c>
      <c r="M369" s="458" t="s">
        <v>207</v>
      </c>
    </row>
    <row r="370" spans="2:13">
      <c r="D370" s="273"/>
      <c r="K370" s="273"/>
    </row>
    <row r="371" spans="2:13">
      <c r="B371" s="437" t="s">
        <v>140</v>
      </c>
      <c r="C371" s="441" t="s">
        <v>99</v>
      </c>
      <c r="E371" s="437" t="s">
        <v>186</v>
      </c>
      <c r="F371" s="437" t="s">
        <v>187</v>
      </c>
      <c r="G371" s="447"/>
      <c r="H371" s="451"/>
      <c r="I371" s="447" t="s">
        <v>33</v>
      </c>
      <c r="J371" s="441" t="s">
        <v>60</v>
      </c>
      <c r="L371" s="437" t="s">
        <v>172</v>
      </c>
      <c r="M371" s="459"/>
    </row>
    <row r="372" spans="2:13">
      <c r="B372" s="438" t="s">
        <v>105</v>
      </c>
      <c r="C372" s="442" t="s">
        <v>3</v>
      </c>
      <c r="E372" s="438" t="s">
        <v>86</v>
      </c>
      <c r="F372" s="438" t="s">
        <v>208</v>
      </c>
      <c r="G372" s="448" t="s">
        <v>110</v>
      </c>
      <c r="H372" s="452" t="s">
        <v>210</v>
      </c>
      <c r="I372" s="455" t="s">
        <v>53</v>
      </c>
      <c r="J372" s="442" t="s">
        <v>192</v>
      </c>
      <c r="L372" s="438" t="s">
        <v>193</v>
      </c>
      <c r="M372" s="442" t="s">
        <v>189</v>
      </c>
    </row>
    <row r="373" spans="2:13">
      <c r="B373" s="439"/>
      <c r="C373" s="443" t="s">
        <v>195</v>
      </c>
      <c r="D373" s="444"/>
      <c r="E373" s="439" t="s">
        <v>196</v>
      </c>
      <c r="F373" s="439"/>
      <c r="G373" s="449" t="s">
        <v>69</v>
      </c>
      <c r="H373" s="453" t="s">
        <v>211</v>
      </c>
      <c r="I373" s="454" t="s">
        <v>199</v>
      </c>
      <c r="J373" s="443"/>
      <c r="K373" s="457"/>
      <c r="L373" s="439" t="s">
        <v>200</v>
      </c>
      <c r="M373" s="443" t="s">
        <v>201</v>
      </c>
    </row>
    <row r="374" spans="2:13" ht="30.75" customHeight="1">
      <c r="B374" s="390" t="str">
        <f>VLOOKUP($J369,'17-1（所得細目表)'!$B$9:$M$45,3,0)</f>
        <v/>
      </c>
      <c r="C374" s="390" t="str">
        <f>VLOOKUP($J369,'17-1（所得細目表)'!$B$9:$M$45,4,0)</f>
        <v/>
      </c>
      <c r="D374" s="390"/>
      <c r="E374" s="390" t="str">
        <f>VLOOKUP($J369,'17-1（所得細目表)'!$B$9:$M$45,5,0)</f>
        <v/>
      </c>
      <c r="F374" s="390" t="str">
        <f>VLOOKUP($J369,'17-1（所得細目表)'!$B$9:$M$45,6,0)</f>
        <v/>
      </c>
      <c r="G374" s="390">
        <f>VLOOKUP($J369,'17-1（所得細目表)'!$B$9:$M$45,7,0)</f>
        <v>0</v>
      </c>
      <c r="H374" s="390">
        <f>VLOOKUP($J369,'17-1（所得細目表)'!$B$9:$M$45,8,0)</f>
        <v>0</v>
      </c>
      <c r="I374" s="390" t="str">
        <f>VLOOKUP($J369,'17-1（所得細目表)'!$B$9:$M$45,9,0)</f>
        <v/>
      </c>
      <c r="J374" s="390" t="str">
        <f>VLOOKUP($J369,'17-1（所得細目表)'!$B$9:$M$45,10,0)</f>
        <v/>
      </c>
      <c r="K374" s="390"/>
      <c r="L374" s="390" t="str">
        <f>VLOOKUP($J369,'17-1（所得細目表)'!$B$9:$M$45,11,0)</f>
        <v/>
      </c>
      <c r="M374" s="390" t="str">
        <f>VLOOKUP($J369,'17-1（所得細目表)'!$B$9:$M$45,12,0)</f>
        <v/>
      </c>
    </row>
    <row r="376" spans="2:13">
      <c r="C376" s="1" t="s">
        <v>213</v>
      </c>
    </row>
    <row r="378" spans="2:13">
      <c r="B378" s="440"/>
      <c r="C378" s="440"/>
      <c r="D378" s="440"/>
      <c r="E378" s="440"/>
      <c r="F378" s="440"/>
      <c r="G378" s="440"/>
      <c r="H378" s="440"/>
      <c r="I378" s="440"/>
      <c r="J378" s="440"/>
      <c r="K378" s="440"/>
      <c r="L378" s="440"/>
      <c r="M378" s="440"/>
    </row>
    <row r="380" spans="2:13" ht="14.25">
      <c r="E380" s="445">
        <f>'2（収支報告書)'!$A$9</f>
        <v>7</v>
      </c>
      <c r="F380" s="445"/>
      <c r="G380" s="445"/>
      <c r="H380" s="445"/>
      <c r="I380" s="445"/>
      <c r="J380" s="445"/>
    </row>
    <row r="382" spans="2:13" ht="12.75" customHeight="1">
      <c r="J382" s="209"/>
    </row>
    <row r="383" spans="2:13" ht="13.5" customHeight="1">
      <c r="F383" s="209" t="s">
        <v>39</v>
      </c>
      <c r="G383" s="446" t="str">
        <f>IF($J383="","",'2（収支報告書)'!$E$6)</f>
        <v/>
      </c>
      <c r="H383" s="450" t="s">
        <v>204</v>
      </c>
      <c r="I383" s="450"/>
      <c r="J383" s="456" t="str">
        <f>IF('17-1（所得細目表)'!$B36="","",'17-1（所得細目表)'!$B36)</f>
        <v/>
      </c>
      <c r="L383" s="209">
        <f>VLOOKUP($J383,'17-1（所得細目表)'!$B$9:$M$45,2,0)</f>
        <v>0</v>
      </c>
      <c r="M383" s="458" t="s">
        <v>207</v>
      </c>
    </row>
    <row r="384" spans="2:13">
      <c r="D384" s="273"/>
      <c r="K384" s="273"/>
    </row>
    <row r="385" spans="2:13">
      <c r="B385" s="437" t="s">
        <v>140</v>
      </c>
      <c r="C385" s="441" t="s">
        <v>99</v>
      </c>
      <c r="E385" s="437" t="s">
        <v>186</v>
      </c>
      <c r="F385" s="437" t="s">
        <v>187</v>
      </c>
      <c r="G385" s="447"/>
      <c r="H385" s="451"/>
      <c r="I385" s="447" t="s">
        <v>33</v>
      </c>
      <c r="J385" s="441" t="s">
        <v>60</v>
      </c>
      <c r="L385" s="437" t="s">
        <v>172</v>
      </c>
      <c r="M385" s="459"/>
    </row>
    <row r="386" spans="2:13">
      <c r="B386" s="438" t="s">
        <v>105</v>
      </c>
      <c r="C386" s="442" t="s">
        <v>3</v>
      </c>
      <c r="E386" s="438" t="s">
        <v>86</v>
      </c>
      <c r="F386" s="438" t="s">
        <v>208</v>
      </c>
      <c r="G386" s="448" t="s">
        <v>110</v>
      </c>
      <c r="H386" s="452" t="s">
        <v>210</v>
      </c>
      <c r="I386" s="455" t="s">
        <v>53</v>
      </c>
      <c r="J386" s="442" t="s">
        <v>192</v>
      </c>
      <c r="L386" s="438" t="s">
        <v>193</v>
      </c>
      <c r="M386" s="442" t="s">
        <v>189</v>
      </c>
    </row>
    <row r="387" spans="2:13">
      <c r="B387" s="439"/>
      <c r="C387" s="443" t="s">
        <v>195</v>
      </c>
      <c r="D387" s="444"/>
      <c r="E387" s="439" t="s">
        <v>196</v>
      </c>
      <c r="F387" s="439"/>
      <c r="G387" s="449" t="s">
        <v>69</v>
      </c>
      <c r="H387" s="453" t="s">
        <v>211</v>
      </c>
      <c r="I387" s="454" t="s">
        <v>199</v>
      </c>
      <c r="J387" s="443"/>
      <c r="K387" s="457"/>
      <c r="L387" s="439" t="s">
        <v>200</v>
      </c>
      <c r="M387" s="443" t="s">
        <v>201</v>
      </c>
    </row>
    <row r="388" spans="2:13" ht="30.75" customHeight="1">
      <c r="B388" s="390" t="str">
        <f>VLOOKUP($J383,'17-1（所得細目表)'!$B$9:$M$45,3,0)</f>
        <v/>
      </c>
      <c r="C388" s="390" t="str">
        <f>VLOOKUP($J383,'17-1（所得細目表)'!$B$9:$M$45,4,0)</f>
        <v/>
      </c>
      <c r="D388" s="390"/>
      <c r="E388" s="390" t="str">
        <f>VLOOKUP($J383,'17-1（所得細目表)'!$B$9:$M$45,5,0)</f>
        <v/>
      </c>
      <c r="F388" s="390" t="str">
        <f>VLOOKUP($J383,'17-1（所得細目表)'!$B$9:$M$45,6,0)</f>
        <v/>
      </c>
      <c r="G388" s="390">
        <f>VLOOKUP($J383,'17-1（所得細目表)'!$B$9:$M$45,7,0)</f>
        <v>0</v>
      </c>
      <c r="H388" s="390">
        <f>VLOOKUP($J383,'17-1（所得細目表)'!$B$9:$M$45,8,0)</f>
        <v>0</v>
      </c>
      <c r="I388" s="390" t="str">
        <f>VLOOKUP($J383,'17-1（所得細目表)'!$B$9:$M$45,9,0)</f>
        <v/>
      </c>
      <c r="J388" s="390" t="str">
        <f>VLOOKUP($J383,'17-1（所得細目表)'!$B$9:$M$45,10,0)</f>
        <v/>
      </c>
      <c r="K388" s="390"/>
      <c r="L388" s="390" t="str">
        <f>VLOOKUP($J383,'17-1（所得細目表)'!$B$9:$M$45,11,0)</f>
        <v/>
      </c>
      <c r="M388" s="390" t="str">
        <f>VLOOKUP($J383,'17-1（所得細目表)'!$B$9:$M$45,12,0)</f>
        <v/>
      </c>
    </row>
    <row r="390" spans="2:13">
      <c r="C390" s="1" t="s">
        <v>213</v>
      </c>
    </row>
    <row r="392" spans="2:13">
      <c r="B392" s="440"/>
      <c r="C392" s="440"/>
      <c r="D392" s="440"/>
      <c r="E392" s="440"/>
      <c r="F392" s="440"/>
      <c r="G392" s="440"/>
      <c r="H392" s="440"/>
      <c r="I392" s="440"/>
      <c r="J392" s="440"/>
      <c r="K392" s="440"/>
      <c r="L392" s="440"/>
      <c r="M392" s="440"/>
    </row>
    <row r="394" spans="2:13" ht="14.25">
      <c r="E394" s="445">
        <f>'2（収支報告書)'!$A$9</f>
        <v>7</v>
      </c>
      <c r="F394" s="445"/>
      <c r="G394" s="445"/>
      <c r="H394" s="445"/>
      <c r="I394" s="445"/>
      <c r="J394" s="445"/>
    </row>
    <row r="396" spans="2:13" ht="12.75" customHeight="1">
      <c r="J396" s="209"/>
    </row>
    <row r="397" spans="2:13" ht="13.5" customHeight="1">
      <c r="F397" s="209" t="s">
        <v>39</v>
      </c>
      <c r="G397" s="446" t="str">
        <f>IF($J397="","",'2（収支報告書)'!$E$6)</f>
        <v/>
      </c>
      <c r="H397" s="450" t="s">
        <v>204</v>
      </c>
      <c r="I397" s="450"/>
      <c r="J397" s="456" t="str">
        <f>IF('17-1（所得細目表)'!$B37="","",'17-1（所得細目表)'!$B37)</f>
        <v/>
      </c>
      <c r="L397" s="209">
        <f>VLOOKUP($J397,'17-1（所得細目表)'!$B$9:$M$45,2,0)</f>
        <v>0</v>
      </c>
      <c r="M397" s="458" t="s">
        <v>207</v>
      </c>
    </row>
    <row r="398" spans="2:13">
      <c r="D398" s="273"/>
      <c r="K398" s="273"/>
    </row>
    <row r="399" spans="2:13">
      <c r="B399" s="437" t="s">
        <v>140</v>
      </c>
      <c r="C399" s="441" t="s">
        <v>99</v>
      </c>
      <c r="E399" s="437" t="s">
        <v>186</v>
      </c>
      <c r="F399" s="437" t="s">
        <v>187</v>
      </c>
      <c r="G399" s="447"/>
      <c r="H399" s="451"/>
      <c r="I399" s="447" t="s">
        <v>33</v>
      </c>
      <c r="J399" s="441" t="s">
        <v>60</v>
      </c>
      <c r="L399" s="437" t="s">
        <v>172</v>
      </c>
      <c r="M399" s="459"/>
    </row>
    <row r="400" spans="2:13">
      <c r="B400" s="438" t="s">
        <v>105</v>
      </c>
      <c r="C400" s="442" t="s">
        <v>3</v>
      </c>
      <c r="E400" s="438" t="s">
        <v>86</v>
      </c>
      <c r="F400" s="438" t="s">
        <v>208</v>
      </c>
      <c r="G400" s="448" t="s">
        <v>110</v>
      </c>
      <c r="H400" s="452" t="s">
        <v>210</v>
      </c>
      <c r="I400" s="455" t="s">
        <v>53</v>
      </c>
      <c r="J400" s="442" t="s">
        <v>192</v>
      </c>
      <c r="L400" s="438" t="s">
        <v>193</v>
      </c>
      <c r="M400" s="442" t="s">
        <v>189</v>
      </c>
    </row>
    <row r="401" spans="2:13">
      <c r="B401" s="439"/>
      <c r="C401" s="443" t="s">
        <v>195</v>
      </c>
      <c r="D401" s="444"/>
      <c r="E401" s="439" t="s">
        <v>196</v>
      </c>
      <c r="F401" s="439"/>
      <c r="G401" s="449" t="s">
        <v>69</v>
      </c>
      <c r="H401" s="453" t="s">
        <v>211</v>
      </c>
      <c r="I401" s="454" t="s">
        <v>199</v>
      </c>
      <c r="J401" s="443"/>
      <c r="K401" s="457"/>
      <c r="L401" s="439" t="s">
        <v>200</v>
      </c>
      <c r="M401" s="443" t="s">
        <v>201</v>
      </c>
    </row>
    <row r="402" spans="2:13" ht="30.75" customHeight="1">
      <c r="B402" s="390" t="str">
        <f>VLOOKUP($J397,'17-1（所得細目表)'!$B$9:$M$45,3,0)</f>
        <v/>
      </c>
      <c r="C402" s="390" t="str">
        <f>VLOOKUP($J397,'17-1（所得細目表)'!$B$9:$M$45,4,0)</f>
        <v/>
      </c>
      <c r="D402" s="390"/>
      <c r="E402" s="390" t="str">
        <f>VLOOKUP($J397,'17-1（所得細目表)'!$B$9:$M$45,5,0)</f>
        <v/>
      </c>
      <c r="F402" s="390" t="str">
        <f>VLOOKUP($J397,'17-1（所得細目表)'!$B$9:$M$45,6,0)</f>
        <v/>
      </c>
      <c r="G402" s="390">
        <f>VLOOKUP($J397,'17-1（所得細目表)'!$B$9:$M$45,7,0)</f>
        <v>0</v>
      </c>
      <c r="H402" s="390">
        <f>VLOOKUP($J397,'17-1（所得細目表)'!$B$9:$M$45,8,0)</f>
        <v>0</v>
      </c>
      <c r="I402" s="390" t="str">
        <f>VLOOKUP($J397,'17-1（所得細目表)'!$B$9:$M$45,9,0)</f>
        <v/>
      </c>
      <c r="J402" s="390" t="str">
        <f>VLOOKUP($J397,'17-1（所得細目表)'!$B$9:$M$45,10,0)</f>
        <v/>
      </c>
      <c r="K402" s="390"/>
      <c r="L402" s="390" t="str">
        <f>VLOOKUP($J397,'17-1（所得細目表)'!$B$9:$M$45,11,0)</f>
        <v/>
      </c>
      <c r="M402" s="390" t="str">
        <f>VLOOKUP($J397,'17-1（所得細目表)'!$B$9:$M$45,12,0)</f>
        <v/>
      </c>
    </row>
    <row r="404" spans="2:13">
      <c r="C404" s="1" t="s">
        <v>213</v>
      </c>
    </row>
    <row r="406" spans="2:13">
      <c r="B406" s="440"/>
      <c r="C406" s="440"/>
      <c r="D406" s="440"/>
      <c r="E406" s="440"/>
      <c r="F406" s="440"/>
      <c r="G406" s="440"/>
      <c r="H406" s="440"/>
      <c r="I406" s="440"/>
      <c r="J406" s="440"/>
      <c r="K406" s="440"/>
      <c r="L406" s="440"/>
      <c r="M406" s="440"/>
    </row>
    <row r="408" spans="2:13" ht="14.25">
      <c r="E408" s="445">
        <f>'2（収支報告書)'!$A$9</f>
        <v>7</v>
      </c>
      <c r="F408" s="445"/>
      <c r="G408" s="445"/>
      <c r="H408" s="445"/>
      <c r="I408" s="445"/>
      <c r="J408" s="445"/>
    </row>
    <row r="410" spans="2:13" ht="12.75" customHeight="1">
      <c r="J410" s="209"/>
    </row>
    <row r="411" spans="2:13" ht="13.5" customHeight="1">
      <c r="F411" s="209" t="s">
        <v>39</v>
      </c>
      <c r="G411" s="446" t="str">
        <f>IF($J411="","",'2（収支報告書)'!$E$6)</f>
        <v/>
      </c>
      <c r="H411" s="450" t="s">
        <v>204</v>
      </c>
      <c r="I411" s="450"/>
      <c r="J411" s="456" t="str">
        <f>IF('17-1（所得細目表)'!$B38="","",'17-1（所得細目表)'!$B38)</f>
        <v/>
      </c>
      <c r="L411" s="209">
        <f>VLOOKUP($J411,'17-1（所得細目表)'!$B$9:$M$45,2,0)</f>
        <v>0</v>
      </c>
      <c r="M411" s="458" t="s">
        <v>207</v>
      </c>
    </row>
    <row r="412" spans="2:13">
      <c r="D412" s="273"/>
      <c r="K412" s="273"/>
    </row>
    <row r="413" spans="2:13">
      <c r="B413" s="437" t="s">
        <v>140</v>
      </c>
      <c r="C413" s="441" t="s">
        <v>99</v>
      </c>
      <c r="E413" s="437" t="s">
        <v>186</v>
      </c>
      <c r="F413" s="437" t="s">
        <v>187</v>
      </c>
      <c r="G413" s="447"/>
      <c r="H413" s="451"/>
      <c r="I413" s="447" t="s">
        <v>33</v>
      </c>
      <c r="J413" s="441" t="s">
        <v>60</v>
      </c>
      <c r="L413" s="437" t="s">
        <v>172</v>
      </c>
      <c r="M413" s="459"/>
    </row>
    <row r="414" spans="2:13">
      <c r="B414" s="438" t="s">
        <v>105</v>
      </c>
      <c r="C414" s="442" t="s">
        <v>3</v>
      </c>
      <c r="E414" s="438" t="s">
        <v>86</v>
      </c>
      <c r="F414" s="438" t="s">
        <v>208</v>
      </c>
      <c r="G414" s="448" t="s">
        <v>110</v>
      </c>
      <c r="H414" s="452" t="s">
        <v>210</v>
      </c>
      <c r="I414" s="455" t="s">
        <v>53</v>
      </c>
      <c r="J414" s="442" t="s">
        <v>192</v>
      </c>
      <c r="L414" s="438" t="s">
        <v>193</v>
      </c>
      <c r="M414" s="442" t="s">
        <v>189</v>
      </c>
    </row>
    <row r="415" spans="2:13">
      <c r="B415" s="439"/>
      <c r="C415" s="443" t="s">
        <v>195</v>
      </c>
      <c r="D415" s="444"/>
      <c r="E415" s="439" t="s">
        <v>196</v>
      </c>
      <c r="F415" s="439"/>
      <c r="G415" s="449" t="s">
        <v>69</v>
      </c>
      <c r="H415" s="453" t="s">
        <v>211</v>
      </c>
      <c r="I415" s="454" t="s">
        <v>199</v>
      </c>
      <c r="J415" s="443"/>
      <c r="K415" s="457"/>
      <c r="L415" s="439" t="s">
        <v>200</v>
      </c>
      <c r="M415" s="443" t="s">
        <v>201</v>
      </c>
    </row>
    <row r="416" spans="2:13" ht="30.75" customHeight="1">
      <c r="B416" s="390" t="str">
        <f>VLOOKUP($J411,'17-1（所得細目表)'!$B$9:$M$45,3,0)</f>
        <v/>
      </c>
      <c r="C416" s="390" t="str">
        <f>VLOOKUP($J411,'17-1（所得細目表)'!$B$9:$M$45,4,0)</f>
        <v/>
      </c>
      <c r="D416" s="390"/>
      <c r="E416" s="390" t="str">
        <f>VLOOKUP($J411,'17-1（所得細目表)'!$B$9:$M$45,5,0)</f>
        <v/>
      </c>
      <c r="F416" s="390" t="str">
        <f>VLOOKUP($J411,'17-1（所得細目表)'!$B$9:$M$45,6,0)</f>
        <v/>
      </c>
      <c r="G416" s="390">
        <f>VLOOKUP($J411,'17-1（所得細目表)'!$B$9:$M$45,7,0)</f>
        <v>0</v>
      </c>
      <c r="H416" s="390">
        <f>VLOOKUP($J411,'17-1（所得細目表)'!$B$9:$M$45,8,0)</f>
        <v>0</v>
      </c>
      <c r="I416" s="390" t="str">
        <f>VLOOKUP($J411,'17-1（所得細目表)'!$B$9:$M$45,9,0)</f>
        <v/>
      </c>
      <c r="J416" s="390" t="str">
        <f>VLOOKUP($J411,'17-1（所得細目表)'!$B$9:$M$45,10,0)</f>
        <v/>
      </c>
      <c r="K416" s="390"/>
      <c r="L416" s="390" t="str">
        <f>VLOOKUP($J411,'17-1（所得細目表)'!$B$9:$M$45,11,0)</f>
        <v/>
      </c>
      <c r="M416" s="390" t="str">
        <f>VLOOKUP($J411,'17-1（所得細目表)'!$B$9:$M$45,12,0)</f>
        <v/>
      </c>
    </row>
    <row r="418" spans="2:13">
      <c r="C418" s="1" t="s">
        <v>213</v>
      </c>
    </row>
    <row r="420" spans="2:13">
      <c r="B420" s="440"/>
      <c r="C420" s="440"/>
      <c r="D420" s="440"/>
      <c r="E420" s="440"/>
      <c r="F420" s="440"/>
      <c r="G420" s="440"/>
      <c r="H420" s="440"/>
      <c r="I420" s="440"/>
      <c r="J420" s="440"/>
      <c r="K420" s="440"/>
      <c r="L420" s="440"/>
      <c r="M420" s="440"/>
    </row>
    <row r="422" spans="2:13" ht="14.25">
      <c r="E422" s="445">
        <f>'2（収支報告書)'!$A$9</f>
        <v>7</v>
      </c>
      <c r="F422" s="445"/>
      <c r="G422" s="445"/>
      <c r="H422" s="445"/>
      <c r="I422" s="445"/>
      <c r="J422" s="445"/>
    </row>
    <row r="424" spans="2:13" ht="12.75" customHeight="1">
      <c r="J424" s="209"/>
    </row>
    <row r="425" spans="2:13" ht="13.5" customHeight="1">
      <c r="F425" s="209" t="s">
        <v>39</v>
      </c>
      <c r="G425" s="446" t="str">
        <f>IF($J425="","",'2（収支報告書)'!$E$6)</f>
        <v/>
      </c>
      <c r="H425" s="450" t="s">
        <v>204</v>
      </c>
      <c r="I425" s="450"/>
      <c r="J425" s="456" t="str">
        <f>IF('17-1（所得細目表)'!$B39="","",'17-1（所得細目表)'!$B39)</f>
        <v/>
      </c>
      <c r="L425" s="209">
        <f>VLOOKUP($J425,'17-1（所得細目表)'!$B$9:$M$45,2,0)</f>
        <v>0</v>
      </c>
      <c r="M425" s="458" t="s">
        <v>207</v>
      </c>
    </row>
    <row r="426" spans="2:13">
      <c r="D426" s="273"/>
      <c r="K426" s="273"/>
    </row>
    <row r="427" spans="2:13">
      <c r="B427" s="437" t="s">
        <v>140</v>
      </c>
      <c r="C427" s="441" t="s">
        <v>99</v>
      </c>
      <c r="E427" s="437" t="s">
        <v>186</v>
      </c>
      <c r="F427" s="437" t="s">
        <v>187</v>
      </c>
      <c r="G427" s="447"/>
      <c r="H427" s="451"/>
      <c r="I427" s="447" t="s">
        <v>33</v>
      </c>
      <c r="J427" s="441" t="s">
        <v>60</v>
      </c>
      <c r="L427" s="437" t="s">
        <v>172</v>
      </c>
      <c r="M427" s="459"/>
    </row>
    <row r="428" spans="2:13">
      <c r="B428" s="438" t="s">
        <v>105</v>
      </c>
      <c r="C428" s="442" t="s">
        <v>3</v>
      </c>
      <c r="E428" s="438" t="s">
        <v>86</v>
      </c>
      <c r="F428" s="438" t="s">
        <v>208</v>
      </c>
      <c r="G428" s="448" t="s">
        <v>110</v>
      </c>
      <c r="H428" s="452" t="s">
        <v>210</v>
      </c>
      <c r="I428" s="455" t="s">
        <v>53</v>
      </c>
      <c r="J428" s="442" t="s">
        <v>192</v>
      </c>
      <c r="L428" s="438" t="s">
        <v>193</v>
      </c>
      <c r="M428" s="442" t="s">
        <v>189</v>
      </c>
    </row>
    <row r="429" spans="2:13">
      <c r="B429" s="439"/>
      <c r="C429" s="443" t="s">
        <v>195</v>
      </c>
      <c r="D429" s="444"/>
      <c r="E429" s="439" t="s">
        <v>196</v>
      </c>
      <c r="F429" s="439"/>
      <c r="G429" s="449" t="s">
        <v>69</v>
      </c>
      <c r="H429" s="453" t="s">
        <v>211</v>
      </c>
      <c r="I429" s="454" t="s">
        <v>199</v>
      </c>
      <c r="J429" s="443"/>
      <c r="K429" s="457"/>
      <c r="L429" s="439" t="s">
        <v>200</v>
      </c>
      <c r="M429" s="443" t="s">
        <v>201</v>
      </c>
    </row>
    <row r="430" spans="2:13" ht="30.75" customHeight="1">
      <c r="B430" s="390" t="str">
        <f>VLOOKUP($J425,'17-1（所得細目表)'!$B$9:$M$45,3,0)</f>
        <v/>
      </c>
      <c r="C430" s="390" t="str">
        <f>VLOOKUP($J425,'17-1（所得細目表)'!$B$9:$M$45,4,0)</f>
        <v/>
      </c>
      <c r="D430" s="390"/>
      <c r="E430" s="390" t="str">
        <f>VLOOKUP($J425,'17-1（所得細目表)'!$B$9:$M$45,5,0)</f>
        <v/>
      </c>
      <c r="F430" s="390" t="str">
        <f>VLOOKUP($J425,'17-1（所得細目表)'!$B$9:$M$45,6,0)</f>
        <v/>
      </c>
      <c r="G430" s="390">
        <f>VLOOKUP($J425,'17-1（所得細目表)'!$B$9:$M$45,7,0)</f>
        <v>0</v>
      </c>
      <c r="H430" s="390">
        <f>VLOOKUP($J425,'17-1（所得細目表)'!$B$9:$M$45,8,0)</f>
        <v>0</v>
      </c>
      <c r="I430" s="390" t="str">
        <f>VLOOKUP($J425,'17-1（所得細目表)'!$B$9:$M$45,9,0)</f>
        <v/>
      </c>
      <c r="J430" s="390" t="str">
        <f>VLOOKUP($J425,'17-1（所得細目表)'!$B$9:$M$45,10,0)</f>
        <v/>
      </c>
      <c r="K430" s="390"/>
      <c r="L430" s="390" t="str">
        <f>VLOOKUP($J425,'17-1（所得細目表)'!$B$9:$M$45,11,0)</f>
        <v/>
      </c>
      <c r="M430" s="390" t="str">
        <f>VLOOKUP($J425,'17-1（所得細目表)'!$B$9:$M$45,12,0)</f>
        <v/>
      </c>
    </row>
    <row r="432" spans="2:13">
      <c r="C432" s="1" t="s">
        <v>213</v>
      </c>
    </row>
    <row r="434" spans="2:13">
      <c r="B434" s="440"/>
      <c r="C434" s="440"/>
      <c r="D434" s="440"/>
      <c r="E434" s="440"/>
      <c r="F434" s="440"/>
      <c r="G434" s="440"/>
      <c r="H434" s="440"/>
      <c r="I434" s="440"/>
      <c r="J434" s="440"/>
      <c r="K434" s="440"/>
      <c r="L434" s="440"/>
      <c r="M434" s="440"/>
    </row>
    <row r="436" spans="2:13" ht="14.25">
      <c r="E436" s="445">
        <f>'2（収支報告書)'!$A$9</f>
        <v>7</v>
      </c>
      <c r="F436" s="445"/>
      <c r="G436" s="445"/>
      <c r="H436" s="445"/>
      <c r="I436" s="445"/>
      <c r="J436" s="445"/>
    </row>
    <row r="438" spans="2:13" ht="12.75" customHeight="1">
      <c r="J438" s="209"/>
    </row>
    <row r="439" spans="2:13" ht="13.5" customHeight="1">
      <c r="F439" s="209" t="s">
        <v>39</v>
      </c>
      <c r="G439" s="446" t="str">
        <f>IF($J439="","",'2（収支報告書)'!$E$6)</f>
        <v/>
      </c>
      <c r="H439" s="450" t="s">
        <v>204</v>
      </c>
      <c r="I439" s="450"/>
      <c r="J439" s="456" t="str">
        <f>IF('17-1（所得細目表)'!$B40="","",'17-1（所得細目表)'!$B40)</f>
        <v/>
      </c>
      <c r="L439" s="209">
        <f>VLOOKUP($J439,'17-1（所得細目表)'!$B$9:$M$45,2,0)</f>
        <v>0</v>
      </c>
      <c r="M439" s="458" t="s">
        <v>207</v>
      </c>
    </row>
    <row r="440" spans="2:13">
      <c r="D440" s="273"/>
      <c r="K440" s="273"/>
    </row>
    <row r="441" spans="2:13">
      <c r="B441" s="437" t="s">
        <v>140</v>
      </c>
      <c r="C441" s="441" t="s">
        <v>99</v>
      </c>
      <c r="E441" s="437" t="s">
        <v>186</v>
      </c>
      <c r="F441" s="437" t="s">
        <v>187</v>
      </c>
      <c r="G441" s="447"/>
      <c r="H441" s="451"/>
      <c r="I441" s="447" t="s">
        <v>33</v>
      </c>
      <c r="J441" s="441" t="s">
        <v>60</v>
      </c>
      <c r="L441" s="437" t="s">
        <v>172</v>
      </c>
      <c r="M441" s="459"/>
    </row>
    <row r="442" spans="2:13">
      <c r="B442" s="438" t="s">
        <v>105</v>
      </c>
      <c r="C442" s="442" t="s">
        <v>3</v>
      </c>
      <c r="E442" s="438" t="s">
        <v>86</v>
      </c>
      <c r="F442" s="438" t="s">
        <v>208</v>
      </c>
      <c r="G442" s="448" t="s">
        <v>110</v>
      </c>
      <c r="H442" s="452" t="s">
        <v>210</v>
      </c>
      <c r="I442" s="455" t="s">
        <v>53</v>
      </c>
      <c r="J442" s="442" t="s">
        <v>192</v>
      </c>
      <c r="L442" s="438" t="s">
        <v>193</v>
      </c>
      <c r="M442" s="442" t="s">
        <v>189</v>
      </c>
    </row>
    <row r="443" spans="2:13">
      <c r="B443" s="439"/>
      <c r="C443" s="443" t="s">
        <v>195</v>
      </c>
      <c r="D443" s="444"/>
      <c r="E443" s="439" t="s">
        <v>196</v>
      </c>
      <c r="F443" s="439"/>
      <c r="G443" s="449" t="s">
        <v>69</v>
      </c>
      <c r="H443" s="453" t="s">
        <v>211</v>
      </c>
      <c r="I443" s="454" t="s">
        <v>199</v>
      </c>
      <c r="J443" s="443"/>
      <c r="K443" s="457"/>
      <c r="L443" s="439" t="s">
        <v>200</v>
      </c>
      <c r="M443" s="443" t="s">
        <v>201</v>
      </c>
    </row>
    <row r="444" spans="2:13" ht="30.75" customHeight="1">
      <c r="B444" s="390" t="str">
        <f>VLOOKUP($J439,'17-1（所得細目表)'!$B$9:$M$45,3,0)</f>
        <v/>
      </c>
      <c r="C444" s="390" t="str">
        <f>VLOOKUP($J439,'17-1（所得細目表)'!$B$9:$M$45,4,0)</f>
        <v/>
      </c>
      <c r="D444" s="390"/>
      <c r="E444" s="390" t="str">
        <f>VLOOKUP($J439,'17-1（所得細目表)'!$B$9:$M$45,5,0)</f>
        <v/>
      </c>
      <c r="F444" s="390" t="str">
        <f>VLOOKUP($J439,'17-1（所得細目表)'!$B$9:$M$45,6,0)</f>
        <v/>
      </c>
      <c r="G444" s="390">
        <f>VLOOKUP($J439,'17-1（所得細目表)'!$B$9:$M$45,7,0)</f>
        <v>0</v>
      </c>
      <c r="H444" s="390">
        <f>VLOOKUP($J439,'17-1（所得細目表)'!$B$9:$M$45,8,0)</f>
        <v>0</v>
      </c>
      <c r="I444" s="390" t="str">
        <f>VLOOKUP($J439,'17-1（所得細目表)'!$B$9:$M$45,9,0)</f>
        <v/>
      </c>
      <c r="J444" s="390" t="str">
        <f>VLOOKUP($J439,'17-1（所得細目表)'!$B$9:$M$45,10,0)</f>
        <v/>
      </c>
      <c r="K444" s="390"/>
      <c r="L444" s="390" t="str">
        <f>VLOOKUP($J439,'17-1（所得細目表)'!$B$9:$M$45,11,0)</f>
        <v/>
      </c>
      <c r="M444" s="390" t="str">
        <f>VLOOKUP($J439,'17-1（所得細目表)'!$B$9:$M$45,12,0)</f>
        <v/>
      </c>
    </row>
    <row r="446" spans="2:13">
      <c r="C446" s="1" t="s">
        <v>213</v>
      </c>
    </row>
    <row r="448" spans="2:13">
      <c r="B448" s="440"/>
      <c r="C448" s="440"/>
      <c r="D448" s="440"/>
      <c r="E448" s="440"/>
      <c r="F448" s="440"/>
      <c r="G448" s="440"/>
      <c r="H448" s="440"/>
      <c r="I448" s="440"/>
      <c r="J448" s="440"/>
      <c r="K448" s="440"/>
      <c r="L448" s="440"/>
      <c r="M448" s="440"/>
    </row>
    <row r="450" spans="2:13" ht="14.25">
      <c r="E450" s="445">
        <f>'2（収支報告書)'!$A$9</f>
        <v>7</v>
      </c>
      <c r="F450" s="445"/>
      <c r="G450" s="445"/>
      <c r="H450" s="445"/>
      <c r="I450" s="445"/>
      <c r="J450" s="445"/>
    </row>
    <row r="452" spans="2:13" ht="12.75" customHeight="1">
      <c r="J452" s="209"/>
    </row>
    <row r="453" spans="2:13" ht="13.5" customHeight="1">
      <c r="F453" s="209" t="s">
        <v>39</v>
      </c>
      <c r="G453" s="446" t="str">
        <f>IF($J453="","",'2（収支報告書)'!$E$6)</f>
        <v/>
      </c>
      <c r="H453" s="450" t="s">
        <v>204</v>
      </c>
      <c r="I453" s="450"/>
      <c r="J453" s="456" t="str">
        <f>IF('17-1（所得細目表)'!$B41="","",'17-1（所得細目表)'!$B41)</f>
        <v/>
      </c>
      <c r="L453" s="209">
        <f>VLOOKUP($J453,'17-1（所得細目表)'!$B$9:$M$45,2,0)</f>
        <v>0</v>
      </c>
      <c r="M453" s="458" t="s">
        <v>207</v>
      </c>
    </row>
    <row r="454" spans="2:13">
      <c r="D454" s="273"/>
      <c r="K454" s="273"/>
    </row>
    <row r="455" spans="2:13">
      <c r="B455" s="437" t="s">
        <v>140</v>
      </c>
      <c r="C455" s="441" t="s">
        <v>99</v>
      </c>
      <c r="E455" s="437" t="s">
        <v>186</v>
      </c>
      <c r="F455" s="437" t="s">
        <v>187</v>
      </c>
      <c r="G455" s="447"/>
      <c r="H455" s="451"/>
      <c r="I455" s="447" t="s">
        <v>33</v>
      </c>
      <c r="J455" s="441" t="s">
        <v>60</v>
      </c>
      <c r="L455" s="437" t="s">
        <v>172</v>
      </c>
      <c r="M455" s="459"/>
    </row>
    <row r="456" spans="2:13">
      <c r="B456" s="438" t="s">
        <v>105</v>
      </c>
      <c r="C456" s="442" t="s">
        <v>3</v>
      </c>
      <c r="E456" s="438" t="s">
        <v>86</v>
      </c>
      <c r="F456" s="438" t="s">
        <v>208</v>
      </c>
      <c r="G456" s="448" t="s">
        <v>110</v>
      </c>
      <c r="H456" s="452" t="s">
        <v>210</v>
      </c>
      <c r="I456" s="455" t="s">
        <v>53</v>
      </c>
      <c r="J456" s="442" t="s">
        <v>192</v>
      </c>
      <c r="L456" s="438" t="s">
        <v>193</v>
      </c>
      <c r="M456" s="442" t="s">
        <v>189</v>
      </c>
    </row>
    <row r="457" spans="2:13">
      <c r="B457" s="439"/>
      <c r="C457" s="443" t="s">
        <v>195</v>
      </c>
      <c r="D457" s="444"/>
      <c r="E457" s="439" t="s">
        <v>196</v>
      </c>
      <c r="F457" s="439"/>
      <c r="G457" s="449" t="s">
        <v>69</v>
      </c>
      <c r="H457" s="453" t="s">
        <v>211</v>
      </c>
      <c r="I457" s="454" t="s">
        <v>199</v>
      </c>
      <c r="J457" s="443"/>
      <c r="K457" s="457"/>
      <c r="L457" s="439" t="s">
        <v>200</v>
      </c>
      <c r="M457" s="443" t="s">
        <v>201</v>
      </c>
    </row>
    <row r="458" spans="2:13" ht="30.75" customHeight="1">
      <c r="B458" s="390" t="str">
        <f>VLOOKUP($J453,'17-1（所得細目表)'!$B$9:$M$45,3,0)</f>
        <v/>
      </c>
      <c r="C458" s="390" t="str">
        <f>VLOOKUP($J453,'17-1（所得細目表)'!$B$9:$M$45,4,0)</f>
        <v/>
      </c>
      <c r="D458" s="390"/>
      <c r="E458" s="390" t="str">
        <f>VLOOKUP($J453,'17-1（所得細目表)'!$B$9:$M$45,5,0)</f>
        <v/>
      </c>
      <c r="F458" s="390" t="str">
        <f>VLOOKUP($J453,'17-1（所得細目表)'!$B$9:$M$45,6,0)</f>
        <v/>
      </c>
      <c r="G458" s="390">
        <f>VLOOKUP($J453,'17-1（所得細目表)'!$B$9:$M$45,7,0)</f>
        <v>0</v>
      </c>
      <c r="H458" s="390">
        <f>VLOOKUP($J453,'17-1（所得細目表)'!$B$9:$M$45,8,0)</f>
        <v>0</v>
      </c>
      <c r="I458" s="390" t="str">
        <f>VLOOKUP($J453,'17-1（所得細目表)'!$B$9:$M$45,9,0)</f>
        <v/>
      </c>
      <c r="J458" s="390" t="str">
        <f>VLOOKUP($J453,'17-1（所得細目表)'!$B$9:$M$45,10,0)</f>
        <v/>
      </c>
      <c r="K458" s="390"/>
      <c r="L458" s="390" t="str">
        <f>VLOOKUP($J453,'17-1（所得細目表)'!$B$9:$M$45,11,0)</f>
        <v/>
      </c>
      <c r="M458" s="390" t="str">
        <f>VLOOKUP($J453,'17-1（所得細目表)'!$B$9:$M$45,12,0)</f>
        <v/>
      </c>
    </row>
    <row r="460" spans="2:13">
      <c r="C460" s="1" t="s">
        <v>213</v>
      </c>
    </row>
    <row r="462" spans="2:13">
      <c r="B462" s="440"/>
      <c r="C462" s="440"/>
      <c r="D462" s="440"/>
      <c r="E462" s="440"/>
      <c r="F462" s="440"/>
      <c r="G462" s="440"/>
      <c r="H462" s="440"/>
      <c r="I462" s="440"/>
      <c r="J462" s="440"/>
      <c r="K462" s="440"/>
      <c r="L462" s="440"/>
      <c r="M462" s="440"/>
    </row>
    <row r="464" spans="2:13" ht="14.25">
      <c r="E464" s="445">
        <f>'2（収支報告書)'!$A$9</f>
        <v>7</v>
      </c>
      <c r="F464" s="445"/>
      <c r="G464" s="445"/>
      <c r="H464" s="445"/>
      <c r="I464" s="445"/>
      <c r="J464" s="445"/>
    </row>
    <row r="466" spans="2:13" ht="12.75" customHeight="1">
      <c r="J466" s="209"/>
    </row>
    <row r="467" spans="2:13" ht="13.5" customHeight="1">
      <c r="F467" s="209" t="s">
        <v>39</v>
      </c>
      <c r="G467" s="446" t="str">
        <f>IF($J467="","",'2（収支報告書)'!$E$6)</f>
        <v/>
      </c>
      <c r="H467" s="450" t="s">
        <v>204</v>
      </c>
      <c r="I467" s="450"/>
      <c r="J467" s="456" t="str">
        <f>IF('17-1（所得細目表)'!$B42="","",'17-1（所得細目表)'!$B42)</f>
        <v/>
      </c>
      <c r="L467" s="209">
        <f>VLOOKUP($J467,'17-1（所得細目表)'!$B$9:$M$45,2,0)</f>
        <v>0</v>
      </c>
      <c r="M467" s="458" t="s">
        <v>207</v>
      </c>
    </row>
    <row r="468" spans="2:13">
      <c r="D468" s="273"/>
      <c r="K468" s="273"/>
    </row>
    <row r="469" spans="2:13">
      <c r="B469" s="437" t="s">
        <v>140</v>
      </c>
      <c r="C469" s="441" t="s">
        <v>99</v>
      </c>
      <c r="E469" s="437" t="s">
        <v>186</v>
      </c>
      <c r="F469" s="437" t="s">
        <v>187</v>
      </c>
      <c r="G469" s="447"/>
      <c r="H469" s="451"/>
      <c r="I469" s="447" t="s">
        <v>33</v>
      </c>
      <c r="J469" s="441" t="s">
        <v>60</v>
      </c>
      <c r="L469" s="437" t="s">
        <v>172</v>
      </c>
      <c r="M469" s="459"/>
    </row>
    <row r="470" spans="2:13">
      <c r="B470" s="438" t="s">
        <v>105</v>
      </c>
      <c r="C470" s="442" t="s">
        <v>3</v>
      </c>
      <c r="E470" s="438" t="s">
        <v>86</v>
      </c>
      <c r="F470" s="438" t="s">
        <v>208</v>
      </c>
      <c r="G470" s="448" t="s">
        <v>110</v>
      </c>
      <c r="H470" s="452" t="s">
        <v>210</v>
      </c>
      <c r="I470" s="455" t="s">
        <v>53</v>
      </c>
      <c r="J470" s="442" t="s">
        <v>192</v>
      </c>
      <c r="L470" s="438" t="s">
        <v>193</v>
      </c>
      <c r="M470" s="442" t="s">
        <v>189</v>
      </c>
    </row>
    <row r="471" spans="2:13">
      <c r="B471" s="439"/>
      <c r="C471" s="443" t="s">
        <v>195</v>
      </c>
      <c r="D471" s="444"/>
      <c r="E471" s="439" t="s">
        <v>196</v>
      </c>
      <c r="F471" s="439"/>
      <c r="G471" s="449" t="s">
        <v>69</v>
      </c>
      <c r="H471" s="453" t="s">
        <v>211</v>
      </c>
      <c r="I471" s="454" t="s">
        <v>199</v>
      </c>
      <c r="J471" s="443"/>
      <c r="K471" s="457"/>
      <c r="L471" s="439" t="s">
        <v>200</v>
      </c>
      <c r="M471" s="443" t="s">
        <v>201</v>
      </c>
    </row>
    <row r="472" spans="2:13" ht="30.75" customHeight="1">
      <c r="B472" s="390" t="str">
        <f>VLOOKUP($J467,'17-1（所得細目表)'!$B$9:$M$45,3,0)</f>
        <v/>
      </c>
      <c r="C472" s="390" t="str">
        <f>VLOOKUP($J467,'17-1（所得細目表)'!$B$9:$M$45,4,0)</f>
        <v/>
      </c>
      <c r="D472" s="390"/>
      <c r="E472" s="390" t="str">
        <f>VLOOKUP($J467,'17-1（所得細目表)'!$B$9:$M$45,5,0)</f>
        <v/>
      </c>
      <c r="F472" s="390" t="str">
        <f>VLOOKUP($J467,'17-1（所得細目表)'!$B$9:$M$45,6,0)</f>
        <v/>
      </c>
      <c r="G472" s="390">
        <f>VLOOKUP($J467,'17-1（所得細目表)'!$B$9:$M$45,7,0)</f>
        <v>0</v>
      </c>
      <c r="H472" s="390">
        <f>VLOOKUP($J467,'17-1（所得細目表)'!$B$9:$M$45,8,0)</f>
        <v>0</v>
      </c>
      <c r="I472" s="390" t="str">
        <f>VLOOKUP($J467,'17-1（所得細目表)'!$B$9:$M$45,9,0)</f>
        <v/>
      </c>
      <c r="J472" s="390" t="str">
        <f>VLOOKUP($J467,'17-1（所得細目表)'!$B$9:$M$45,10,0)</f>
        <v/>
      </c>
      <c r="K472" s="390"/>
      <c r="L472" s="390" t="str">
        <f>VLOOKUP($J467,'17-1（所得細目表)'!$B$9:$M$45,11,0)</f>
        <v/>
      </c>
      <c r="M472" s="390" t="str">
        <f>VLOOKUP($J467,'17-1（所得細目表)'!$B$9:$M$45,12,0)</f>
        <v/>
      </c>
    </row>
    <row r="474" spans="2:13">
      <c r="C474" s="1" t="s">
        <v>213</v>
      </c>
    </row>
    <row r="476" spans="2:13">
      <c r="B476" s="440"/>
      <c r="C476" s="440"/>
      <c r="D476" s="440"/>
      <c r="E476" s="440"/>
      <c r="F476" s="440"/>
      <c r="G476" s="440"/>
      <c r="H476" s="440"/>
      <c r="I476" s="440"/>
      <c r="J476" s="440"/>
      <c r="K476" s="440"/>
      <c r="L476" s="440"/>
      <c r="M476" s="440"/>
    </row>
    <row r="478" spans="2:13" ht="14.25">
      <c r="E478" s="445">
        <f>'2（収支報告書)'!$A$9</f>
        <v>7</v>
      </c>
      <c r="F478" s="445"/>
      <c r="G478" s="445"/>
      <c r="H478" s="445"/>
      <c r="I478" s="445"/>
      <c r="J478" s="445"/>
    </row>
    <row r="480" spans="2:13" ht="12.75" customHeight="1">
      <c r="J480" s="209"/>
    </row>
    <row r="481" spans="2:13" ht="13.5" customHeight="1">
      <c r="F481" s="209" t="s">
        <v>39</v>
      </c>
      <c r="G481" s="446" t="str">
        <f>IF($J481="","",'2（収支報告書)'!$E$6)</f>
        <v/>
      </c>
      <c r="H481" s="450" t="s">
        <v>204</v>
      </c>
      <c r="I481" s="450"/>
      <c r="J481" s="456" t="str">
        <f>IF('17-1（所得細目表)'!$B43="","",'17-1（所得細目表)'!$B43)</f>
        <v/>
      </c>
      <c r="L481" s="209">
        <f>VLOOKUP($J481,'17-1（所得細目表)'!$B$9:$M$45,2,0)</f>
        <v>0</v>
      </c>
      <c r="M481" s="458" t="s">
        <v>207</v>
      </c>
    </row>
    <row r="482" spans="2:13">
      <c r="D482" s="273"/>
      <c r="K482" s="273"/>
    </row>
    <row r="483" spans="2:13">
      <c r="B483" s="437" t="s">
        <v>140</v>
      </c>
      <c r="C483" s="441" t="s">
        <v>99</v>
      </c>
      <c r="E483" s="437" t="s">
        <v>186</v>
      </c>
      <c r="F483" s="437" t="s">
        <v>187</v>
      </c>
      <c r="G483" s="447"/>
      <c r="H483" s="451"/>
      <c r="I483" s="447" t="s">
        <v>33</v>
      </c>
      <c r="J483" s="441" t="s">
        <v>60</v>
      </c>
      <c r="L483" s="437" t="s">
        <v>172</v>
      </c>
      <c r="M483" s="459"/>
    </row>
    <row r="484" spans="2:13">
      <c r="B484" s="438" t="s">
        <v>105</v>
      </c>
      <c r="C484" s="442" t="s">
        <v>3</v>
      </c>
      <c r="E484" s="438" t="s">
        <v>86</v>
      </c>
      <c r="F484" s="438" t="s">
        <v>208</v>
      </c>
      <c r="G484" s="448" t="s">
        <v>110</v>
      </c>
      <c r="H484" s="452" t="s">
        <v>210</v>
      </c>
      <c r="I484" s="455" t="s">
        <v>53</v>
      </c>
      <c r="J484" s="442" t="s">
        <v>192</v>
      </c>
      <c r="L484" s="438" t="s">
        <v>193</v>
      </c>
      <c r="M484" s="442" t="s">
        <v>189</v>
      </c>
    </row>
    <row r="485" spans="2:13">
      <c r="B485" s="439"/>
      <c r="C485" s="443" t="s">
        <v>195</v>
      </c>
      <c r="D485" s="444"/>
      <c r="E485" s="439" t="s">
        <v>196</v>
      </c>
      <c r="F485" s="439"/>
      <c r="G485" s="449" t="s">
        <v>69</v>
      </c>
      <c r="H485" s="453" t="s">
        <v>211</v>
      </c>
      <c r="I485" s="454" t="s">
        <v>199</v>
      </c>
      <c r="J485" s="443"/>
      <c r="K485" s="457"/>
      <c r="L485" s="439" t="s">
        <v>200</v>
      </c>
      <c r="M485" s="443" t="s">
        <v>201</v>
      </c>
    </row>
    <row r="486" spans="2:13" ht="30.75" customHeight="1">
      <c r="B486" s="390" t="str">
        <f>VLOOKUP($J481,'17-1（所得細目表)'!$B$9:$M$45,3,0)</f>
        <v/>
      </c>
      <c r="C486" s="390" t="str">
        <f>VLOOKUP($J481,'17-1（所得細目表)'!$B$9:$M$45,4,0)</f>
        <v/>
      </c>
      <c r="D486" s="390"/>
      <c r="E486" s="390" t="str">
        <f>VLOOKUP($J481,'17-1（所得細目表)'!$B$9:$M$45,5,0)</f>
        <v/>
      </c>
      <c r="F486" s="390" t="str">
        <f>VLOOKUP($J481,'17-1（所得細目表)'!$B$9:$M$45,6,0)</f>
        <v/>
      </c>
      <c r="G486" s="390">
        <f>VLOOKUP($J481,'17-1（所得細目表)'!$B$9:$M$45,7,0)</f>
        <v>0</v>
      </c>
      <c r="H486" s="390">
        <f>VLOOKUP($J481,'17-1（所得細目表)'!$B$9:$M$45,8,0)</f>
        <v>0</v>
      </c>
      <c r="I486" s="390" t="str">
        <f>VLOOKUP($J481,'17-1（所得細目表)'!$B$9:$M$45,9,0)</f>
        <v/>
      </c>
      <c r="J486" s="390" t="str">
        <f>VLOOKUP($J481,'17-1（所得細目表)'!$B$9:$M$45,10,0)</f>
        <v/>
      </c>
      <c r="K486" s="390"/>
      <c r="L486" s="390" t="str">
        <f>VLOOKUP($J481,'17-1（所得細目表)'!$B$9:$M$45,11,0)</f>
        <v/>
      </c>
      <c r="M486" s="390" t="str">
        <f>VLOOKUP($J481,'17-1（所得細目表)'!$B$9:$M$45,12,0)</f>
        <v/>
      </c>
    </row>
    <row r="488" spans="2:13">
      <c r="C488" s="1" t="s">
        <v>213</v>
      </c>
    </row>
    <row r="490" spans="2:13">
      <c r="B490" s="440"/>
      <c r="C490" s="440"/>
      <c r="D490" s="440"/>
      <c r="E490" s="440"/>
      <c r="F490" s="440"/>
      <c r="G490" s="440"/>
      <c r="H490" s="440"/>
      <c r="I490" s="440"/>
      <c r="J490" s="440"/>
      <c r="K490" s="440"/>
      <c r="L490" s="440"/>
      <c r="M490" s="440"/>
    </row>
    <row r="492" spans="2:13" ht="14.25">
      <c r="E492" s="445">
        <f>'2（収支報告書)'!$A$9</f>
        <v>7</v>
      </c>
      <c r="F492" s="445"/>
      <c r="G492" s="445"/>
      <c r="H492" s="445"/>
      <c r="I492" s="445"/>
      <c r="J492" s="445"/>
    </row>
    <row r="494" spans="2:13" ht="12.75" customHeight="1">
      <c r="J494" s="209"/>
    </row>
    <row r="495" spans="2:13" ht="13.5" customHeight="1">
      <c r="F495" s="209" t="s">
        <v>39</v>
      </c>
      <c r="G495" s="446" t="str">
        <f>IF($J495="","",'2（収支報告書)'!$E$6)</f>
        <v/>
      </c>
      <c r="H495" s="450" t="s">
        <v>204</v>
      </c>
      <c r="I495" s="450"/>
      <c r="J495" s="456" t="str">
        <f>IF('17-1（所得細目表)'!$B44="","",'17-1（所得細目表)'!$B44)</f>
        <v/>
      </c>
      <c r="L495" s="209">
        <f>VLOOKUP($J495,'17-1（所得細目表)'!$B$9:$M$45,2,0)</f>
        <v>0</v>
      </c>
      <c r="M495" s="458" t="s">
        <v>207</v>
      </c>
    </row>
    <row r="496" spans="2:13">
      <c r="D496" s="273"/>
      <c r="K496" s="273"/>
    </row>
    <row r="497" spans="2:13">
      <c r="B497" s="437" t="s">
        <v>140</v>
      </c>
      <c r="C497" s="441" t="s">
        <v>99</v>
      </c>
      <c r="E497" s="437" t="s">
        <v>186</v>
      </c>
      <c r="F497" s="437" t="s">
        <v>187</v>
      </c>
      <c r="G497" s="447"/>
      <c r="H497" s="451"/>
      <c r="I497" s="447" t="s">
        <v>33</v>
      </c>
      <c r="J497" s="441" t="s">
        <v>60</v>
      </c>
      <c r="L497" s="437" t="s">
        <v>172</v>
      </c>
      <c r="M497" s="459"/>
    </row>
    <row r="498" spans="2:13">
      <c r="B498" s="438" t="s">
        <v>105</v>
      </c>
      <c r="C498" s="442" t="s">
        <v>3</v>
      </c>
      <c r="E498" s="438" t="s">
        <v>86</v>
      </c>
      <c r="F498" s="438" t="s">
        <v>208</v>
      </c>
      <c r="G498" s="448" t="s">
        <v>110</v>
      </c>
      <c r="H498" s="452" t="s">
        <v>210</v>
      </c>
      <c r="I498" s="455" t="s">
        <v>53</v>
      </c>
      <c r="J498" s="442" t="s">
        <v>192</v>
      </c>
      <c r="L498" s="438" t="s">
        <v>193</v>
      </c>
      <c r="M498" s="442" t="s">
        <v>189</v>
      </c>
    </row>
    <row r="499" spans="2:13">
      <c r="B499" s="439"/>
      <c r="C499" s="443" t="s">
        <v>195</v>
      </c>
      <c r="D499" s="444"/>
      <c r="E499" s="439" t="s">
        <v>196</v>
      </c>
      <c r="F499" s="439"/>
      <c r="G499" s="449" t="s">
        <v>69</v>
      </c>
      <c r="H499" s="453" t="s">
        <v>211</v>
      </c>
      <c r="I499" s="454" t="s">
        <v>199</v>
      </c>
      <c r="J499" s="443"/>
      <c r="K499" s="457"/>
      <c r="L499" s="439" t="s">
        <v>200</v>
      </c>
      <c r="M499" s="443" t="s">
        <v>201</v>
      </c>
    </row>
    <row r="500" spans="2:13" ht="30.75" customHeight="1">
      <c r="B500" s="390" t="str">
        <f>VLOOKUP($J495,'17-1（所得細目表)'!$B$9:$M$45,3,0)</f>
        <v/>
      </c>
      <c r="C500" s="390" t="str">
        <f>VLOOKUP($J495,'17-1（所得細目表)'!$B$9:$M$45,4,0)</f>
        <v/>
      </c>
      <c r="D500" s="390"/>
      <c r="E500" s="390" t="str">
        <f>VLOOKUP($J495,'17-1（所得細目表)'!$B$9:$M$45,5,0)</f>
        <v/>
      </c>
      <c r="F500" s="390" t="str">
        <f>VLOOKUP($J495,'17-1（所得細目表)'!$B$9:$M$45,6,0)</f>
        <v/>
      </c>
      <c r="G500" s="390">
        <f>VLOOKUP($J495,'17-1（所得細目表)'!$B$9:$M$45,7,0)</f>
        <v>0</v>
      </c>
      <c r="H500" s="390">
        <f>VLOOKUP($J495,'17-1（所得細目表)'!$B$9:$M$45,8,0)</f>
        <v>0</v>
      </c>
      <c r="I500" s="390" t="str">
        <f>VLOOKUP($J495,'17-1（所得細目表)'!$B$9:$M$45,9,0)</f>
        <v/>
      </c>
      <c r="J500" s="390" t="str">
        <f>VLOOKUP($J495,'17-1（所得細目表)'!$B$9:$M$45,10,0)</f>
        <v/>
      </c>
      <c r="K500" s="390"/>
      <c r="L500" s="390" t="str">
        <f>VLOOKUP($J495,'17-1（所得細目表)'!$B$9:$M$45,11,0)</f>
        <v/>
      </c>
      <c r="M500" s="390" t="str">
        <f>VLOOKUP($J495,'17-1（所得細目表)'!$B$9:$M$45,12,0)</f>
        <v/>
      </c>
    </row>
    <row r="502" spans="2:13">
      <c r="C502" s="1" t="s">
        <v>213</v>
      </c>
    </row>
    <row r="504" spans="2:13">
      <c r="B504" s="440"/>
      <c r="C504" s="440"/>
      <c r="D504" s="440"/>
      <c r="E504" s="440"/>
      <c r="F504" s="440"/>
      <c r="G504" s="440"/>
      <c r="H504" s="440"/>
      <c r="I504" s="440"/>
      <c r="J504" s="440"/>
      <c r="K504" s="440"/>
      <c r="L504" s="440"/>
      <c r="M504" s="440"/>
    </row>
    <row r="506" spans="2:13" ht="14.25">
      <c r="E506" s="445">
        <f>'2（収支報告書)'!$A$9</f>
        <v>7</v>
      </c>
      <c r="F506" s="445"/>
      <c r="G506" s="445"/>
      <c r="H506" s="445"/>
      <c r="I506" s="445"/>
      <c r="J506" s="445"/>
    </row>
    <row r="508" spans="2:13" ht="12.75" customHeight="1">
      <c r="J508" s="209"/>
    </row>
    <row r="509" spans="2:13" ht="13.5" customHeight="1">
      <c r="F509" s="209" t="s">
        <v>39</v>
      </c>
      <c r="G509" s="446" t="str">
        <f>IF($J509="","",'2（収支報告書)'!$E$6)</f>
        <v/>
      </c>
      <c r="H509" s="450" t="s">
        <v>204</v>
      </c>
      <c r="I509" s="450"/>
      <c r="J509" s="456" t="str">
        <f>IF('17-1（所得細目表)'!$B45="","",'17-1（所得細目表)'!$B45)</f>
        <v/>
      </c>
      <c r="L509" s="209">
        <f>VLOOKUP($J509,'17-1（所得細目表)'!$B$9:$M$45,2,0)</f>
        <v>0</v>
      </c>
      <c r="M509" s="458" t="s">
        <v>207</v>
      </c>
    </row>
    <row r="510" spans="2:13">
      <c r="D510" s="273"/>
      <c r="K510" s="273"/>
    </row>
    <row r="511" spans="2:13">
      <c r="B511" s="437" t="s">
        <v>140</v>
      </c>
      <c r="C511" s="441" t="s">
        <v>99</v>
      </c>
      <c r="E511" s="437" t="s">
        <v>186</v>
      </c>
      <c r="F511" s="437" t="s">
        <v>187</v>
      </c>
      <c r="G511" s="447"/>
      <c r="H511" s="451"/>
      <c r="I511" s="447" t="s">
        <v>33</v>
      </c>
      <c r="J511" s="441" t="s">
        <v>60</v>
      </c>
      <c r="L511" s="437" t="s">
        <v>172</v>
      </c>
      <c r="M511" s="459"/>
    </row>
    <row r="512" spans="2:13">
      <c r="B512" s="438" t="s">
        <v>105</v>
      </c>
      <c r="C512" s="442" t="s">
        <v>3</v>
      </c>
      <c r="E512" s="438" t="s">
        <v>86</v>
      </c>
      <c r="F512" s="438" t="s">
        <v>208</v>
      </c>
      <c r="G512" s="448" t="s">
        <v>110</v>
      </c>
      <c r="H512" s="452" t="s">
        <v>210</v>
      </c>
      <c r="I512" s="455" t="s">
        <v>53</v>
      </c>
      <c r="J512" s="442" t="s">
        <v>192</v>
      </c>
      <c r="L512" s="438" t="s">
        <v>193</v>
      </c>
      <c r="M512" s="442" t="s">
        <v>189</v>
      </c>
    </row>
    <row r="513" spans="2:13">
      <c r="B513" s="439"/>
      <c r="C513" s="443" t="s">
        <v>195</v>
      </c>
      <c r="D513" s="444"/>
      <c r="E513" s="439" t="s">
        <v>196</v>
      </c>
      <c r="F513" s="439"/>
      <c r="G513" s="449" t="s">
        <v>69</v>
      </c>
      <c r="H513" s="453" t="s">
        <v>211</v>
      </c>
      <c r="I513" s="454" t="s">
        <v>199</v>
      </c>
      <c r="J513" s="443"/>
      <c r="K513" s="457"/>
      <c r="L513" s="439" t="s">
        <v>200</v>
      </c>
      <c r="M513" s="443" t="s">
        <v>201</v>
      </c>
    </row>
    <row r="514" spans="2:13" ht="30.75" customHeight="1">
      <c r="B514" s="390" t="str">
        <f>VLOOKUP($J509,'17-1（所得細目表)'!$B$9:$M$45,3,0)</f>
        <v/>
      </c>
      <c r="C514" s="390" t="str">
        <f>VLOOKUP($J509,'17-1（所得細目表)'!$B$9:$M$45,4,0)</f>
        <v/>
      </c>
      <c r="D514" s="390"/>
      <c r="E514" s="390" t="str">
        <f>VLOOKUP($J509,'17-1（所得細目表)'!$B$9:$M$45,5,0)</f>
        <v/>
      </c>
      <c r="F514" s="390" t="str">
        <f>VLOOKUP($J509,'17-1（所得細目表)'!$B$9:$M$45,6,0)</f>
        <v/>
      </c>
      <c r="G514" s="390">
        <f>VLOOKUP($J509,'17-1（所得細目表)'!$B$9:$M$45,7,0)</f>
        <v>0</v>
      </c>
      <c r="H514" s="390">
        <f>VLOOKUP($J509,'17-1（所得細目表)'!$B$9:$M$45,8,0)</f>
        <v>0</v>
      </c>
      <c r="I514" s="390" t="str">
        <f>VLOOKUP($J509,'17-1（所得細目表)'!$B$9:$M$45,9,0)</f>
        <v/>
      </c>
      <c r="J514" s="390" t="str">
        <f>VLOOKUP($J509,'17-1（所得細目表)'!$B$9:$M$45,10,0)</f>
        <v/>
      </c>
      <c r="K514" s="390"/>
      <c r="L514" s="390" t="str">
        <f>VLOOKUP($J509,'17-1（所得細目表)'!$B$9:$M$45,11,0)</f>
        <v/>
      </c>
      <c r="M514" s="390" t="str">
        <f>VLOOKUP($J509,'17-1（所得細目表)'!$B$9:$M$45,12,0)</f>
        <v/>
      </c>
    </row>
    <row r="516" spans="2:13">
      <c r="C516" s="1" t="s">
        <v>213</v>
      </c>
    </row>
    <row r="518" spans="2:13">
      <c r="B518" s="440"/>
      <c r="C518" s="440"/>
      <c r="D518" s="440"/>
      <c r="E518" s="440"/>
      <c r="F518" s="440"/>
      <c r="G518" s="440"/>
      <c r="H518" s="440"/>
      <c r="I518" s="440"/>
      <c r="J518" s="440"/>
      <c r="K518" s="440"/>
      <c r="L518" s="440"/>
      <c r="M518" s="440"/>
    </row>
  </sheetData>
  <mergeCells count="74">
    <mergeCell ref="E2:J2"/>
    <mergeCell ref="H5:I5"/>
    <mergeCell ref="E16:J16"/>
    <mergeCell ref="H19:I19"/>
    <mergeCell ref="E30:J30"/>
    <mergeCell ref="H33:I33"/>
    <mergeCell ref="E44:J44"/>
    <mergeCell ref="H47:I47"/>
    <mergeCell ref="E58:J58"/>
    <mergeCell ref="H61:I61"/>
    <mergeCell ref="E72:J72"/>
    <mergeCell ref="H75:I75"/>
    <mergeCell ref="E86:J86"/>
    <mergeCell ref="H89:I89"/>
    <mergeCell ref="E100:J100"/>
    <mergeCell ref="H103:I103"/>
    <mergeCell ref="E114:J114"/>
    <mergeCell ref="H117:I117"/>
    <mergeCell ref="E128:J128"/>
    <mergeCell ref="H131:I131"/>
    <mergeCell ref="E142:J142"/>
    <mergeCell ref="H145:I145"/>
    <mergeCell ref="E156:J156"/>
    <mergeCell ref="H159:I159"/>
    <mergeCell ref="E170:J170"/>
    <mergeCell ref="H173:I173"/>
    <mergeCell ref="E184:J184"/>
    <mergeCell ref="H187:I187"/>
    <mergeCell ref="E198:J198"/>
    <mergeCell ref="H201:I201"/>
    <mergeCell ref="E212:J212"/>
    <mergeCell ref="H215:I215"/>
    <mergeCell ref="E226:J226"/>
    <mergeCell ref="H229:I229"/>
    <mergeCell ref="E240:J240"/>
    <mergeCell ref="H243:I243"/>
    <mergeCell ref="E254:J254"/>
    <mergeCell ref="H257:I257"/>
    <mergeCell ref="E268:J268"/>
    <mergeCell ref="H271:I271"/>
    <mergeCell ref="E282:J282"/>
    <mergeCell ref="H285:I285"/>
    <mergeCell ref="E296:J296"/>
    <mergeCell ref="H299:I299"/>
    <mergeCell ref="E310:J310"/>
    <mergeCell ref="H313:I313"/>
    <mergeCell ref="E324:J324"/>
    <mergeCell ref="H327:I327"/>
    <mergeCell ref="E338:J338"/>
    <mergeCell ref="H341:I341"/>
    <mergeCell ref="E352:J352"/>
    <mergeCell ref="H355:I355"/>
    <mergeCell ref="E366:J366"/>
    <mergeCell ref="H369:I369"/>
    <mergeCell ref="E380:J380"/>
    <mergeCell ref="H383:I383"/>
    <mergeCell ref="E394:J394"/>
    <mergeCell ref="H397:I397"/>
    <mergeCell ref="E408:J408"/>
    <mergeCell ref="H411:I411"/>
    <mergeCell ref="E422:J422"/>
    <mergeCell ref="H425:I425"/>
    <mergeCell ref="E436:J436"/>
    <mergeCell ref="H439:I439"/>
    <mergeCell ref="E450:J450"/>
    <mergeCell ref="H453:I453"/>
    <mergeCell ref="E464:J464"/>
    <mergeCell ref="H467:I467"/>
    <mergeCell ref="E478:J478"/>
    <mergeCell ref="H481:I481"/>
    <mergeCell ref="E492:J492"/>
    <mergeCell ref="H495:I495"/>
    <mergeCell ref="E506:J506"/>
    <mergeCell ref="H509:I509"/>
  </mergeCells>
  <phoneticPr fontId="7"/>
  <pageMargins left="0.39370078740157483" right="0.39370078740157483" top="0.39370078740157483" bottom="0.27559055118110237" header="0.51181102362204722" footer="0.51181102362204722"/>
  <pageSetup paperSize="9" scale="62" fitToWidth="1" fitToHeight="1" orientation="portrait" usePrinterDefaults="1" r:id="rId1"/>
  <headerFooter alignWithMargins="0">
    <oddFooter>&amp;R&amp;A</oddFooter>
  </headerFooter>
  <rowBreaks count="1" manualBreakCount="1">
    <brk id="84" max="12"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12</vt:i4>
      </vt:variant>
    </vt:vector>
  </HeadingPairs>
  <TitlesOfParts>
    <vt:vector size="12" baseType="lpstr">
      <vt:lpstr>2（収支報告書)</vt:lpstr>
      <vt:lpstr>2-1（収支報告書　記載例）</vt:lpstr>
      <vt:lpstr>３(執行状況調書)</vt:lpstr>
      <vt:lpstr>３-1(執行状況調書　記載例)</vt:lpstr>
      <vt:lpstr>４（金銭出納簿・年）</vt:lpstr>
      <vt:lpstr>４（金銭出納簿・年・5期以前）</vt:lpstr>
      <vt:lpstr>17-1（所得細目表)</vt:lpstr>
      <vt:lpstr>17-1（所得細目表　記載例）</vt:lpstr>
      <vt:lpstr>18-1（所得計算表)</vt:lpstr>
      <vt:lpstr>18-1（所得計算表　記載例）</vt:lpstr>
      <vt:lpstr>19-1（減価償却内訳）</vt:lpstr>
      <vt:lpstr>19-1（減価償却内訳　記載例）</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飯塚　麻美</dc:creator>
  <cp:lastModifiedBy>仁柿 雅裕</cp:lastModifiedBy>
  <cp:lastPrinted>2025-10-28T07:18:17Z</cp:lastPrinted>
  <dcterms:created xsi:type="dcterms:W3CDTF">2022-05-11T07:11:05Z</dcterms:created>
  <dcterms:modified xsi:type="dcterms:W3CDTF">2025-12-15T10:34:47Z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2025-12-15T10:34:47Z</vt:filetime>
  </property>
</Properties>
</file>